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8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nrad\BM 2023\"/>
    </mc:Choice>
  </mc:AlternateContent>
  <xr:revisionPtr revIDLastSave="0" documentId="13_ncr:1_{1C519D4B-EF5E-4A49-A47C-2EEC23958223}" xr6:coauthVersionLast="45" xr6:coauthVersionMax="45" xr10:uidLastSave="{00000000-0000-0000-0000-000000000000}"/>
  <workbookProtection workbookAlgorithmName="SHA-512" workbookHashValue="frhW8vjCVRihfTnohZO2ZYKb9Dqzyxjt11NFcRFy/YOQFymcNnDuKL7Z0FpKsK13KNBvLPHmf9pQgAMNIlw+9w==" workbookSaltValue="2fokZBcZZheQadl7ke6lYQ==" workbookSpinCount="100000" lockStructure="1"/>
  <bookViews>
    <workbookView xWindow="-120" yWindow="-120" windowWidth="24240" windowHeight="13140" tabRatio="772" xr2:uid="{00000000-000D-0000-FFFF-FFFF00000000}"/>
  </bookViews>
  <sheets>
    <sheet name="Deckblatt" sheetId="12" r:id="rId1"/>
    <sheet name="Meldung" sheetId="1" r:id="rId2"/>
    <sheet name="Startgebühr" sheetId="5" r:id="rId3"/>
    <sheet name="EK w" sheetId="10" r:id="rId4"/>
    <sheet name="EK m" sheetId="13" r:id="rId5"/>
    <sheet name="Paarkür" sheetId="15" r:id="rId6"/>
    <sheet name="Kleingrp" sheetId="16" r:id="rId7"/>
    <sheet name="Großgrp" sheetId="17" r:id="rId8"/>
    <sheet name="Juryabfrage" sheetId="18" r:id="rId9"/>
  </sheets>
  <definedNames>
    <definedName name="_xlnm._FilterDatabase" localSheetId="1" hidden="1">Meldung!$B$2:$L$51</definedName>
    <definedName name="_xlnm.Print_Area" localSheetId="4">'EK m'!$A$1:$F$15</definedName>
    <definedName name="_xlnm.Print_Area" localSheetId="3">'EK w'!$A$1:$I$61</definedName>
    <definedName name="_xlnm.Print_Area" localSheetId="7">Großgrp!$A$1:$Q$28</definedName>
    <definedName name="_xlnm.Print_Area" localSheetId="6">Kleingrp!$A$1:$G$59</definedName>
    <definedName name="_xlnm.Print_Area" localSheetId="1">Teilnehmer[[#All],[LfNr]:[Startgebühr]]</definedName>
    <definedName name="_xlnm.Print_Area" localSheetId="5">Paarkür!$A$1:$I$57</definedName>
    <definedName name="_xlnm.Print_Area" localSheetId="2">Startgebühr!$A$1:$F$37</definedName>
    <definedName name="GG" localSheetId="4">Meldung!#REF!</definedName>
    <definedName name="GG" localSheetId="7">Meldung!#REF!</definedName>
    <definedName name="GG" localSheetId="6">Meldung!#REF!</definedName>
    <definedName name="GG">Meldung!#REF!</definedName>
    <definedName name="Gruppen" localSheetId="4">Meldung!#REF!</definedName>
    <definedName name="Gruppen" localSheetId="3">Meldung!#REF!</definedName>
    <definedName name="Gruppen" localSheetId="7">Meldung!#REF!</definedName>
    <definedName name="Gruppen" localSheetId="6">Meldung!#REF!</definedName>
    <definedName name="Gruppen">Meldung!#REF!</definedName>
    <definedName name="m" localSheetId="1">Meldung!#REF!</definedName>
    <definedName name="Was" localSheetId="4">Meldung!#REF!</definedName>
    <definedName name="Was" localSheetId="3">Meldung!#REF!</definedName>
    <definedName name="Was" localSheetId="7">Meldung!#REF!</definedName>
    <definedName name="Was" localSheetId="6">Meldung!#REF!</definedName>
    <definedName name="Was">Meldung!#REF!</definedName>
    <definedName name="wase" localSheetId="7">Meldung!#REF!</definedName>
    <definedName name="wase" localSheetId="6">Meldung!#REF!</definedName>
    <definedName name="wase">Meldung!#REF!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8" l="1"/>
  <c r="C46" i="16"/>
  <c r="C32" i="16"/>
  <c r="C18" i="16"/>
  <c r="C4" i="16"/>
  <c r="O4" i="17"/>
  <c r="I4" i="17"/>
  <c r="C4" i="17"/>
  <c r="B4" i="18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/>
  <c r="E2" i="1"/>
  <c r="E6" i="1"/>
  <c r="E3" i="1"/>
  <c r="E4" i="1"/>
  <c r="E5" i="1"/>
  <c r="E2" i="17"/>
  <c r="E2" i="16"/>
  <c r="E2" i="15"/>
  <c r="E2" i="13"/>
  <c r="E2" i="10"/>
  <c r="O3" i="1" l="1"/>
  <c r="P3" i="1"/>
  <c r="Q3" i="1"/>
  <c r="R3" i="1"/>
  <c r="O4" i="1"/>
  <c r="P4" i="1"/>
  <c r="Q4" i="1"/>
  <c r="R4" i="1"/>
  <c r="O5" i="1"/>
  <c r="P5" i="1"/>
  <c r="Q5" i="1"/>
  <c r="R5" i="1"/>
  <c r="O6" i="1"/>
  <c r="P6" i="1"/>
  <c r="Q6" i="1"/>
  <c r="R6" i="1"/>
  <c r="O7" i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P23" i="1"/>
  <c r="Q23" i="1"/>
  <c r="R23" i="1"/>
  <c r="O24" i="1"/>
  <c r="P24" i="1"/>
  <c r="Q24" i="1"/>
  <c r="R24" i="1"/>
  <c r="O25" i="1"/>
  <c r="P25" i="1"/>
  <c r="Q25" i="1"/>
  <c r="R25" i="1"/>
  <c r="O26" i="1"/>
  <c r="P26" i="1"/>
  <c r="Q26" i="1"/>
  <c r="R26" i="1"/>
  <c r="O27" i="1"/>
  <c r="P27" i="1"/>
  <c r="Q27" i="1"/>
  <c r="R27" i="1"/>
  <c r="O28" i="1"/>
  <c r="P28" i="1"/>
  <c r="Q28" i="1"/>
  <c r="R28" i="1"/>
  <c r="O29" i="1"/>
  <c r="P29" i="1"/>
  <c r="Q29" i="1"/>
  <c r="R29" i="1"/>
  <c r="O30" i="1"/>
  <c r="P30" i="1"/>
  <c r="Q30" i="1"/>
  <c r="R30" i="1"/>
  <c r="O31" i="1"/>
  <c r="P31" i="1"/>
  <c r="Q31" i="1"/>
  <c r="R31" i="1"/>
  <c r="O32" i="1"/>
  <c r="P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O36" i="1"/>
  <c r="P36" i="1"/>
  <c r="Q36" i="1"/>
  <c r="R36" i="1"/>
  <c r="O37" i="1"/>
  <c r="P37" i="1"/>
  <c r="Q37" i="1"/>
  <c r="R37" i="1"/>
  <c r="O38" i="1"/>
  <c r="P38" i="1"/>
  <c r="Q38" i="1"/>
  <c r="R38" i="1"/>
  <c r="O39" i="1"/>
  <c r="P39" i="1"/>
  <c r="Q39" i="1"/>
  <c r="R39" i="1"/>
  <c r="O40" i="1"/>
  <c r="P40" i="1"/>
  <c r="Q40" i="1"/>
  <c r="R40" i="1"/>
  <c r="O41" i="1"/>
  <c r="P41" i="1"/>
  <c r="Q41" i="1"/>
  <c r="R41" i="1"/>
  <c r="O42" i="1"/>
  <c r="P42" i="1"/>
  <c r="Q42" i="1"/>
  <c r="R42" i="1"/>
  <c r="O43" i="1"/>
  <c r="P43" i="1"/>
  <c r="Q43" i="1"/>
  <c r="R43" i="1"/>
  <c r="O44" i="1"/>
  <c r="P44" i="1"/>
  <c r="Q44" i="1"/>
  <c r="R44" i="1"/>
  <c r="O45" i="1"/>
  <c r="P45" i="1"/>
  <c r="Q45" i="1"/>
  <c r="R45" i="1"/>
  <c r="O46" i="1"/>
  <c r="P46" i="1"/>
  <c r="Q46" i="1"/>
  <c r="R46" i="1"/>
  <c r="O47" i="1"/>
  <c r="P47" i="1"/>
  <c r="Q47" i="1"/>
  <c r="R47" i="1"/>
  <c r="O48" i="1"/>
  <c r="P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R2" i="1"/>
  <c r="Q2" i="1"/>
  <c r="P2" i="1"/>
  <c r="O2" i="1"/>
  <c r="Q52" i="1" l="1"/>
  <c r="R52" i="1"/>
  <c r="O52" i="1"/>
  <c r="N29" i="17"/>
  <c r="N30" i="17"/>
  <c r="H29" i="17"/>
  <c r="H30" i="17"/>
  <c r="A29" i="17"/>
  <c r="A30" i="17"/>
  <c r="B30" i="17"/>
  <c r="B29" i="17"/>
  <c r="A15" i="1" l="1"/>
  <c r="A14" i="1"/>
  <c r="A13" i="1"/>
  <c r="A12" i="1"/>
  <c r="A11" i="1"/>
  <c r="A10" i="1"/>
  <c r="A9" i="1"/>
  <c r="A8" i="1"/>
  <c r="A7" i="1"/>
  <c r="A6" i="1"/>
  <c r="A5" i="1"/>
  <c r="A2" i="1"/>
  <c r="A3" i="1"/>
  <c r="A4" i="1"/>
  <c r="A16" i="1"/>
  <c r="A17" i="1"/>
  <c r="A18" i="1"/>
  <c r="A19" i="1"/>
  <c r="A20" i="1"/>
  <c r="A21" i="1"/>
  <c r="A23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O29" i="17" l="1"/>
  <c r="O30" i="17"/>
  <c r="C29" i="17"/>
  <c r="C30" i="17"/>
  <c r="Q30" i="17"/>
  <c r="E29" i="17"/>
  <c r="J30" i="17"/>
  <c r="K29" i="17"/>
  <c r="I29" i="17"/>
  <c r="K30" i="17"/>
  <c r="D29" i="17"/>
  <c r="I30" i="17"/>
  <c r="P30" i="17"/>
  <c r="J29" i="17"/>
  <c r="Q29" i="17"/>
  <c r="E30" i="17"/>
  <c r="P29" i="17"/>
  <c r="D30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B49" i="16" l="1"/>
  <c r="B50" i="16"/>
  <c r="B51" i="16"/>
  <c r="B52" i="16"/>
  <c r="B53" i="16"/>
  <c r="B54" i="16"/>
  <c r="B55" i="16"/>
  <c r="B56" i="16"/>
  <c r="B57" i="16"/>
  <c r="B58" i="16"/>
  <c r="B35" i="16"/>
  <c r="B36" i="16"/>
  <c r="B37" i="16"/>
  <c r="B38" i="16"/>
  <c r="B39" i="16"/>
  <c r="B40" i="16"/>
  <c r="B41" i="16"/>
  <c r="B42" i="16"/>
  <c r="B43" i="16"/>
  <c r="B44" i="16"/>
  <c r="B21" i="16"/>
  <c r="B22" i="16"/>
  <c r="B23" i="16"/>
  <c r="B24" i="16"/>
  <c r="B25" i="16"/>
  <c r="B26" i="16"/>
  <c r="B27" i="16"/>
  <c r="B28" i="16"/>
  <c r="B29" i="16"/>
  <c r="B30" i="16"/>
  <c r="B9" i="16" l="1"/>
  <c r="B8" i="16"/>
  <c r="B7" i="16"/>
  <c r="C9" i="15"/>
  <c r="G9" i="15" s="1"/>
  <c r="H1" i="5"/>
  <c r="D18" i="5" s="1"/>
  <c r="V1" i="1"/>
  <c r="D2" i="10" s="1"/>
  <c r="C46" i="15"/>
  <c r="G46" i="15" s="1"/>
  <c r="C45" i="15"/>
  <c r="G45" i="15" s="1"/>
  <c r="C44" i="15"/>
  <c r="G44" i="15" s="1"/>
  <c r="C43" i="15"/>
  <c r="G43" i="15" s="1"/>
  <c r="C42" i="15"/>
  <c r="G42" i="15" s="1"/>
  <c r="C41" i="15"/>
  <c r="G41" i="15" s="1"/>
  <c r="C40" i="15"/>
  <c r="G40" i="15" s="1"/>
  <c r="C39" i="15"/>
  <c r="G39" i="15" s="1"/>
  <c r="C38" i="15"/>
  <c r="G38" i="15" s="1"/>
  <c r="C37" i="15"/>
  <c r="G37" i="15" s="1"/>
  <c r="C36" i="15"/>
  <c r="G36" i="15" s="1"/>
  <c r="C35" i="15"/>
  <c r="G35" i="15" s="1"/>
  <c r="C34" i="15"/>
  <c r="G34" i="15" s="1"/>
  <c r="C33" i="15"/>
  <c r="G33" i="15" s="1"/>
  <c r="C32" i="15"/>
  <c r="G32" i="15" s="1"/>
  <c r="C31" i="15"/>
  <c r="G31" i="15" s="1"/>
  <c r="C30" i="15"/>
  <c r="G30" i="15" s="1"/>
  <c r="C29" i="15"/>
  <c r="G29" i="15" s="1"/>
  <c r="C28" i="15"/>
  <c r="G28" i="15" s="1"/>
  <c r="C27" i="15"/>
  <c r="G27" i="15" s="1"/>
  <c r="C26" i="15"/>
  <c r="G26" i="15" s="1"/>
  <c r="C25" i="15"/>
  <c r="G25" i="15" s="1"/>
  <c r="C24" i="15"/>
  <c r="G24" i="15" s="1"/>
  <c r="C23" i="15"/>
  <c r="G23" i="15" s="1"/>
  <c r="C22" i="15"/>
  <c r="G22" i="15" s="1"/>
  <c r="C21" i="15"/>
  <c r="G21" i="15" s="1"/>
  <c r="C20" i="15"/>
  <c r="G20" i="15" s="1"/>
  <c r="C19" i="15"/>
  <c r="G19" i="15" s="1"/>
  <c r="C18" i="15"/>
  <c r="G18" i="15" s="1"/>
  <c r="C17" i="15"/>
  <c r="G17" i="15" s="1"/>
  <c r="C16" i="15"/>
  <c r="G16" i="15" s="1"/>
  <c r="C15" i="15"/>
  <c r="G15" i="15" s="1"/>
  <c r="C14" i="15"/>
  <c r="G14" i="15" s="1"/>
  <c r="C13" i="15"/>
  <c r="G13" i="15" s="1"/>
  <c r="C12" i="15"/>
  <c r="G12" i="15" s="1"/>
  <c r="C11" i="15"/>
  <c r="G11" i="15" s="1"/>
  <c r="C10" i="15"/>
  <c r="G10" i="15" s="1"/>
  <c r="C6" i="15"/>
  <c r="G6" i="15" s="1"/>
  <c r="B5" i="13"/>
  <c r="F5" i="13" s="1"/>
  <c r="B6" i="13"/>
  <c r="F6" i="13" s="1"/>
  <c r="B7" i="13"/>
  <c r="F7" i="13" s="1"/>
  <c r="B8" i="13"/>
  <c r="F8" i="13" s="1"/>
  <c r="B9" i="13"/>
  <c r="F9" i="13" s="1"/>
  <c r="B10" i="13"/>
  <c r="F10" i="13" s="1"/>
  <c r="B11" i="13"/>
  <c r="F11" i="13" s="1"/>
  <c r="B12" i="13"/>
  <c r="F12" i="13" s="1"/>
  <c r="B13" i="13"/>
  <c r="F13" i="13" s="1"/>
  <c r="B14" i="13"/>
  <c r="F14" i="13" s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A6" i="10"/>
  <c r="A7" i="10" s="1"/>
  <c r="A8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M8" i="17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G8" i="17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A8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B28" i="17"/>
  <c r="B27" i="17"/>
  <c r="B26" i="17"/>
  <c r="B17" i="17"/>
  <c r="B18" i="17"/>
  <c r="B19" i="17"/>
  <c r="B20" i="17"/>
  <c r="B21" i="17"/>
  <c r="B22" i="17"/>
  <c r="B23" i="17"/>
  <c r="B24" i="17"/>
  <c r="B25" i="17"/>
  <c r="B15" i="16"/>
  <c r="B16" i="16"/>
  <c r="B15" i="17"/>
  <c r="B16" i="17"/>
  <c r="N7" i="17"/>
  <c r="N8" i="17"/>
  <c r="H7" i="17"/>
  <c r="B7" i="17"/>
  <c r="B8" i="17"/>
  <c r="B9" i="17"/>
  <c r="B10" i="17"/>
  <c r="B11" i="17"/>
  <c r="B12" i="17"/>
  <c r="B13" i="17"/>
  <c r="B14" i="17"/>
  <c r="A50" i="16"/>
  <c r="A51" i="16" s="1"/>
  <c r="A52" i="16" s="1"/>
  <c r="A53" i="16" s="1"/>
  <c r="A54" i="16" s="1"/>
  <c r="A55" i="16" s="1"/>
  <c r="A56" i="16" s="1"/>
  <c r="A36" i="16"/>
  <c r="A37" i="16"/>
  <c r="A38" i="16" s="1"/>
  <c r="A39" i="16" s="1"/>
  <c r="A40" i="16" s="1"/>
  <c r="A41" i="16" s="1"/>
  <c r="A42" i="16" s="1"/>
  <c r="A22" i="16"/>
  <c r="A23" i="16" s="1"/>
  <c r="A24" i="16" s="1"/>
  <c r="A25" i="16" s="1"/>
  <c r="A26" i="16" s="1"/>
  <c r="A27" i="16" s="1"/>
  <c r="A28" i="16" s="1"/>
  <c r="B10" i="16"/>
  <c r="B11" i="16"/>
  <c r="B12" i="16"/>
  <c r="B13" i="16"/>
  <c r="B14" i="16"/>
  <c r="A8" i="16"/>
  <c r="A9" i="16" s="1"/>
  <c r="A10" i="16" s="1"/>
  <c r="A11" i="16" s="1"/>
  <c r="A12" i="16" s="1"/>
  <c r="A13" i="16" s="1"/>
  <c r="A14" i="16" s="1"/>
  <c r="A6" i="13"/>
  <c r="A7" i="13" s="1"/>
  <c r="A8" i="13" s="1"/>
  <c r="A9" i="13" s="1"/>
  <c r="A10" i="13" s="1"/>
  <c r="A11" i="13" s="1"/>
  <c r="A12" i="13" s="1"/>
  <c r="A13" i="13" s="1"/>
  <c r="A14" i="13" s="1"/>
  <c r="F33" i="10" l="1"/>
  <c r="C33" i="10"/>
  <c r="F29" i="10"/>
  <c r="C29" i="10"/>
  <c r="F25" i="10"/>
  <c r="C25" i="10"/>
  <c r="F21" i="10"/>
  <c r="C21" i="10"/>
  <c r="F17" i="10"/>
  <c r="C17" i="10"/>
  <c r="F13" i="10"/>
  <c r="C13" i="10"/>
  <c r="F9" i="10"/>
  <c r="C9" i="10"/>
  <c r="F32" i="10"/>
  <c r="C32" i="10"/>
  <c r="F28" i="10"/>
  <c r="C28" i="10"/>
  <c r="F24" i="10"/>
  <c r="C24" i="10"/>
  <c r="F20" i="10"/>
  <c r="C20" i="10"/>
  <c r="F16" i="10"/>
  <c r="C16" i="10"/>
  <c r="F12" i="10"/>
  <c r="C12" i="10"/>
  <c r="F8" i="10"/>
  <c r="C8" i="10"/>
  <c r="F35" i="10"/>
  <c r="C35" i="10"/>
  <c r="F31" i="10"/>
  <c r="C31" i="10"/>
  <c r="F27" i="10"/>
  <c r="C27" i="10"/>
  <c r="F23" i="10"/>
  <c r="C23" i="10"/>
  <c r="F19" i="10"/>
  <c r="C19" i="10"/>
  <c r="F15" i="10"/>
  <c r="C15" i="10"/>
  <c r="F11" i="10"/>
  <c r="C11" i="10"/>
  <c r="F7" i="10"/>
  <c r="C7" i="10"/>
  <c r="F34" i="10"/>
  <c r="C34" i="10"/>
  <c r="F30" i="10"/>
  <c r="C30" i="10"/>
  <c r="F26" i="10"/>
  <c r="C26" i="10"/>
  <c r="F22" i="10"/>
  <c r="C22" i="10"/>
  <c r="F18" i="10"/>
  <c r="C18" i="10"/>
  <c r="F14" i="10"/>
  <c r="C14" i="10"/>
  <c r="F10" i="10"/>
  <c r="C10" i="10"/>
  <c r="D5" i="18"/>
  <c r="A19" i="18"/>
  <c r="A21" i="18" s="1"/>
  <c r="E8" i="5" s="1"/>
  <c r="E7" i="1"/>
  <c r="E11" i="1"/>
  <c r="F13" i="15" s="1"/>
  <c r="E15" i="1"/>
  <c r="E24" i="16" s="1"/>
  <c r="E19" i="1"/>
  <c r="E22" i="1"/>
  <c r="E27" i="1"/>
  <c r="E31" i="1"/>
  <c r="K19" i="17" s="1"/>
  <c r="E35" i="1"/>
  <c r="E39" i="1"/>
  <c r="E43" i="1"/>
  <c r="E47" i="1"/>
  <c r="E51" i="1"/>
  <c r="E23" i="1"/>
  <c r="E19" i="17" s="1"/>
  <c r="E26" i="1"/>
  <c r="E34" i="1"/>
  <c r="E46" i="1"/>
  <c r="E8" i="1"/>
  <c r="E12" i="1"/>
  <c r="K7" i="17" s="1"/>
  <c r="E16" i="1"/>
  <c r="E20" i="1"/>
  <c r="E24" i="1"/>
  <c r="E28" i="1"/>
  <c r="E32" i="1"/>
  <c r="E36" i="1"/>
  <c r="E40" i="1"/>
  <c r="Q14" i="17" s="1"/>
  <c r="E44" i="1"/>
  <c r="E48" i="1"/>
  <c r="E10" i="1"/>
  <c r="F12" i="15" s="1"/>
  <c r="E18" i="1"/>
  <c r="E30" i="1"/>
  <c r="E42" i="1"/>
  <c r="Q16" i="17" s="1"/>
  <c r="E50" i="1"/>
  <c r="E28" i="16" s="1"/>
  <c r="E9" i="1"/>
  <c r="E14" i="17" s="1"/>
  <c r="E13" i="1"/>
  <c r="E9" i="10" s="1"/>
  <c r="E17" i="1"/>
  <c r="E13" i="17" s="1"/>
  <c r="E21" i="1"/>
  <c r="E25" i="1"/>
  <c r="K13" i="17" s="1"/>
  <c r="E29" i="1"/>
  <c r="K17" i="17" s="1"/>
  <c r="E33" i="1"/>
  <c r="Q7" i="17" s="1"/>
  <c r="E37" i="1"/>
  <c r="E41" i="1"/>
  <c r="E45" i="1"/>
  <c r="E23" i="16" s="1"/>
  <c r="E49" i="1"/>
  <c r="E27" i="16" s="1"/>
  <c r="E14" i="1"/>
  <c r="E38" i="1"/>
  <c r="C21" i="16"/>
  <c r="D9" i="16"/>
  <c r="C42" i="16"/>
  <c r="K27" i="17"/>
  <c r="C29" i="16"/>
  <c r="C50" i="16"/>
  <c r="K22" i="17"/>
  <c r="E13" i="16"/>
  <c r="O25" i="17"/>
  <c r="C24" i="16"/>
  <c r="D39" i="16"/>
  <c r="B6" i="10"/>
  <c r="C6" i="10" s="1"/>
  <c r="C8" i="15"/>
  <c r="D20" i="17"/>
  <c r="D49" i="16"/>
  <c r="P14" i="17"/>
  <c r="E9" i="16"/>
  <c r="F17" i="15"/>
  <c r="F6" i="15"/>
  <c r="E12" i="10"/>
  <c r="I24" i="17"/>
  <c r="I8" i="17"/>
  <c r="C54" i="16"/>
  <c r="C35" i="16"/>
  <c r="E26" i="16"/>
  <c r="E55" i="16"/>
  <c r="D27" i="16"/>
  <c r="K25" i="17"/>
  <c r="J16" i="17"/>
  <c r="K28" i="17"/>
  <c r="I19" i="17"/>
  <c r="D57" i="16"/>
  <c r="C36" i="16"/>
  <c r="D15" i="17"/>
  <c r="O9" i="17"/>
  <c r="F29" i="15"/>
  <c r="F45" i="15"/>
  <c r="B5" i="10"/>
  <c r="C5" i="10" s="1"/>
  <c r="C7" i="15"/>
  <c r="G7" i="15" s="1"/>
  <c r="O8" i="17"/>
  <c r="O23" i="17"/>
  <c r="D19" i="17"/>
  <c r="Q22" i="17"/>
  <c r="E11" i="13"/>
  <c r="C5" i="15"/>
  <c r="E7" i="10"/>
  <c r="E53" i="16"/>
  <c r="D10" i="17"/>
  <c r="C43" i="16"/>
  <c r="C27" i="17"/>
  <c r="F16" i="15"/>
  <c r="D25" i="16"/>
  <c r="C40" i="16"/>
  <c r="K21" i="17"/>
  <c r="O17" i="17"/>
  <c r="F21" i="15"/>
  <c r="F37" i="15"/>
  <c r="I20" i="17"/>
  <c r="E13" i="13"/>
  <c r="D10" i="16"/>
  <c r="C23" i="16"/>
  <c r="E38" i="16"/>
  <c r="K18" i="17"/>
  <c r="D52" i="16"/>
  <c r="D9" i="17"/>
  <c r="I11" i="17"/>
  <c r="D25" i="17"/>
  <c r="D17" i="17"/>
  <c r="D28" i="17"/>
  <c r="O28" i="17"/>
  <c r="D13" i="17"/>
  <c r="O24" i="17"/>
  <c r="C5" i="13"/>
  <c r="C15" i="16"/>
  <c r="O15" i="17"/>
  <c r="E51" i="16"/>
  <c r="K9" i="17"/>
  <c r="J23" i="17"/>
  <c r="I26" i="17"/>
  <c r="D11" i="15"/>
  <c r="F35" i="15"/>
  <c r="F43" i="15"/>
  <c r="D14" i="17"/>
  <c r="I7" i="17"/>
  <c r="D16" i="17"/>
  <c r="C18" i="17"/>
  <c r="O21" i="17"/>
  <c r="O13" i="17"/>
  <c r="D31" i="10"/>
  <c r="E23" i="10"/>
  <c r="D7" i="10"/>
  <c r="E23" i="15"/>
  <c r="D31" i="15"/>
  <c r="F39" i="15"/>
  <c r="O12" i="17"/>
  <c r="C12" i="17"/>
  <c r="P7" i="17"/>
  <c r="C24" i="17"/>
  <c r="O27" i="17"/>
  <c r="O19" i="17"/>
  <c r="O11" i="17"/>
  <c r="D29" i="10"/>
  <c r="D21" i="10"/>
  <c r="C7" i="13"/>
  <c r="F25" i="15"/>
  <c r="F33" i="15"/>
  <c r="F41" i="15"/>
  <c r="Q20" i="17"/>
  <c r="E22" i="10"/>
  <c r="D12" i="16"/>
  <c r="C11" i="16"/>
  <c r="D11" i="17"/>
  <c r="D23" i="17"/>
  <c r="D26" i="17"/>
  <c r="O26" i="17"/>
  <c r="P18" i="17"/>
  <c r="Q10" i="17"/>
  <c r="E18" i="15"/>
  <c r="F26" i="15"/>
  <c r="F34" i="15"/>
  <c r="C17" i="17"/>
  <c r="D15" i="16"/>
  <c r="J27" i="17"/>
  <c r="D2" i="16"/>
  <c r="D2" i="13"/>
  <c r="D2" i="15"/>
  <c r="D2" i="17"/>
  <c r="D9" i="15"/>
  <c r="D17" i="15"/>
  <c r="D10" i="13"/>
  <c r="D35" i="16"/>
  <c r="D42" i="15"/>
  <c r="E45" i="15"/>
  <c r="D9" i="13"/>
  <c r="C51" i="16"/>
  <c r="C49" i="16"/>
  <c r="E28" i="10"/>
  <c r="E5" i="13"/>
  <c r="D23" i="16"/>
  <c r="D24" i="16"/>
  <c r="K23" i="17"/>
  <c r="E35" i="16"/>
  <c r="D29" i="16"/>
  <c r="C10" i="16"/>
  <c r="D43" i="16"/>
  <c r="D14" i="16"/>
  <c r="E34" i="15"/>
  <c r="E12" i="13"/>
  <c r="E9" i="13"/>
  <c r="D32" i="10"/>
  <c r="D24" i="10"/>
  <c r="C12" i="13"/>
  <c r="D12" i="13"/>
  <c r="C9" i="13"/>
  <c r="D27" i="15"/>
  <c r="J25" i="17"/>
  <c r="C14" i="16"/>
  <c r="C55" i="16"/>
  <c r="I23" i="17"/>
  <c r="I28" i="17"/>
  <c r="D55" i="16"/>
  <c r="C57" i="16"/>
  <c r="D12" i="10"/>
  <c r="J21" i="17"/>
  <c r="D25" i="10"/>
  <c r="E25" i="10"/>
  <c r="C8" i="13"/>
  <c r="D17" i="10"/>
  <c r="D15" i="15"/>
  <c r="I17" i="17"/>
  <c r="J28" i="17"/>
  <c r="O10" i="17"/>
  <c r="D16" i="10"/>
  <c r="E17" i="10"/>
  <c r="E15" i="15"/>
  <c r="E27" i="15"/>
  <c r="D35" i="15"/>
  <c r="E8" i="13"/>
  <c r="E24" i="10"/>
  <c r="F9" i="15"/>
  <c r="E11" i="16"/>
  <c r="D36" i="16"/>
  <c r="D50" i="16"/>
  <c r="D8" i="10"/>
  <c r="C13" i="13"/>
  <c r="E16" i="15"/>
  <c r="D23" i="15"/>
  <c r="E31" i="15"/>
  <c r="D39" i="15"/>
  <c r="D8" i="13"/>
  <c r="E50" i="16"/>
  <c r="D33" i="10"/>
  <c r="F23" i="15"/>
  <c r="F31" i="15"/>
  <c r="E39" i="15"/>
  <c r="E39" i="16"/>
  <c r="D18" i="15"/>
  <c r="C12" i="16"/>
  <c r="J17" i="17"/>
  <c r="E11" i="15"/>
  <c r="E42" i="15"/>
  <c r="E12" i="16"/>
  <c r="D51" i="16"/>
  <c r="E15" i="16"/>
  <c r="E43" i="16"/>
  <c r="I25" i="17"/>
  <c r="D28" i="10"/>
  <c r="D9" i="10"/>
  <c r="F11" i="15"/>
  <c r="D19" i="15"/>
  <c r="D21" i="15"/>
  <c r="D25" i="15"/>
  <c r="F27" i="15"/>
  <c r="E35" i="15"/>
  <c r="F42" i="15"/>
  <c r="C26" i="16"/>
  <c r="E20" i="10"/>
  <c r="D14" i="15"/>
  <c r="F19" i="15"/>
  <c r="E33" i="15"/>
  <c r="D43" i="15"/>
  <c r="C53" i="16"/>
  <c r="E37" i="16"/>
  <c r="E19" i="15"/>
  <c r="I21" i="17"/>
  <c r="E36" i="16"/>
  <c r="C39" i="16"/>
  <c r="D10" i="15"/>
  <c r="E14" i="15"/>
  <c r="D26" i="15"/>
  <c r="D37" i="15"/>
  <c r="D41" i="15"/>
  <c r="E43" i="15"/>
  <c r="E21" i="15"/>
  <c r="E25" i="15"/>
  <c r="D33" i="15"/>
  <c r="D26" i="16"/>
  <c r="E52" i="16"/>
  <c r="C27" i="16"/>
  <c r="D11" i="16"/>
  <c r="E29" i="16"/>
  <c r="E57" i="16"/>
  <c r="I18" i="17"/>
  <c r="D20" i="10"/>
  <c r="E32" i="10"/>
  <c r="E16" i="10"/>
  <c r="E10" i="15"/>
  <c r="E26" i="15"/>
  <c r="D34" i="15"/>
  <c r="E37" i="15"/>
  <c r="E41" i="15"/>
  <c r="K20" i="17"/>
  <c r="D6" i="15"/>
  <c r="E6" i="15"/>
  <c r="E40" i="16"/>
  <c r="E12" i="15"/>
  <c r="D12" i="15"/>
  <c r="F20" i="15"/>
  <c r="E20" i="15"/>
  <c r="D20" i="15"/>
  <c r="D40" i="16"/>
  <c r="E13" i="15"/>
  <c r="D13" i="15"/>
  <c r="C16" i="16"/>
  <c r="D16" i="16"/>
  <c r="E16" i="16"/>
  <c r="F28" i="15"/>
  <c r="E28" i="15"/>
  <c r="D28" i="15"/>
  <c r="J20" i="17"/>
  <c r="D23" i="10"/>
  <c r="D30" i="10"/>
  <c r="E30" i="10"/>
  <c r="D22" i="10"/>
  <c r="D14" i="10"/>
  <c r="E14" i="10"/>
  <c r="D8" i="16"/>
  <c r="C8" i="16"/>
  <c r="K26" i="17"/>
  <c r="J26" i="17"/>
  <c r="C44" i="16"/>
  <c r="D44" i="16"/>
  <c r="E44" i="16"/>
  <c r="D22" i="16"/>
  <c r="C22" i="16"/>
  <c r="D15" i="10"/>
  <c r="E15" i="10"/>
  <c r="D21" i="16"/>
  <c r="D28" i="16"/>
  <c r="C28" i="16"/>
  <c r="E42" i="16"/>
  <c r="D42" i="16"/>
  <c r="E56" i="16"/>
  <c r="D56" i="16"/>
  <c r="C56" i="16"/>
  <c r="E54" i="16"/>
  <c r="D54" i="16"/>
  <c r="C11" i="13"/>
  <c r="D11" i="13"/>
  <c r="D7" i="16"/>
  <c r="C7" i="16"/>
  <c r="J19" i="17"/>
  <c r="F36" i="15"/>
  <c r="E36" i="15"/>
  <c r="D36" i="15"/>
  <c r="F44" i="15"/>
  <c r="E44" i="15"/>
  <c r="D44" i="15"/>
  <c r="E31" i="10"/>
  <c r="J18" i="17"/>
  <c r="C9" i="16"/>
  <c r="E41" i="16"/>
  <c r="D41" i="16"/>
  <c r="C41" i="16"/>
  <c r="C30" i="16"/>
  <c r="D30" i="16"/>
  <c r="E30" i="16"/>
  <c r="C58" i="16"/>
  <c r="D58" i="16"/>
  <c r="E58" i="16"/>
  <c r="E22" i="17"/>
  <c r="C38" i="16"/>
  <c r="I27" i="17"/>
  <c r="E29" i="10"/>
  <c r="E21" i="10"/>
  <c r="E13" i="10"/>
  <c r="F22" i="15"/>
  <c r="E22" i="15"/>
  <c r="D22" i="15"/>
  <c r="D13" i="10"/>
  <c r="D35" i="10"/>
  <c r="E35" i="10"/>
  <c r="D27" i="10"/>
  <c r="E27" i="10"/>
  <c r="D19" i="10"/>
  <c r="E19" i="10"/>
  <c r="D11" i="10"/>
  <c r="E11" i="10"/>
  <c r="E7" i="13"/>
  <c r="D38" i="16"/>
  <c r="F38" i="15"/>
  <c r="E38" i="15"/>
  <c r="D38" i="15"/>
  <c r="C25" i="16"/>
  <c r="E14" i="13"/>
  <c r="D14" i="13"/>
  <c r="C14" i="13"/>
  <c r="E6" i="13"/>
  <c r="D6" i="13"/>
  <c r="C6" i="13"/>
  <c r="D29" i="15"/>
  <c r="F24" i="15"/>
  <c r="E24" i="15"/>
  <c r="D24" i="15"/>
  <c r="F32" i="15"/>
  <c r="E32" i="15"/>
  <c r="D32" i="15"/>
  <c r="F40" i="15"/>
  <c r="E40" i="15"/>
  <c r="D40" i="15"/>
  <c r="F30" i="15"/>
  <c r="E30" i="15"/>
  <c r="D30" i="15"/>
  <c r="F46" i="15"/>
  <c r="E46" i="15"/>
  <c r="D46" i="15"/>
  <c r="C13" i="16"/>
  <c r="C37" i="16"/>
  <c r="D53" i="16"/>
  <c r="D13" i="16"/>
  <c r="D37" i="16"/>
  <c r="C52" i="16"/>
  <c r="J24" i="17"/>
  <c r="I22" i="17"/>
  <c r="K24" i="17"/>
  <c r="J22" i="17"/>
  <c r="D7" i="13"/>
  <c r="D13" i="13"/>
  <c r="D5" i="13"/>
  <c r="D16" i="15"/>
  <c r="F18" i="15"/>
  <c r="E29" i="15"/>
  <c r="D45" i="15"/>
  <c r="E21" i="17"/>
  <c r="E10" i="13"/>
  <c r="E34" i="10"/>
  <c r="E26" i="10"/>
  <c r="E18" i="10"/>
  <c r="E10" i="10"/>
  <c r="E9" i="15"/>
  <c r="E17" i="15"/>
  <c r="D34" i="10"/>
  <c r="D26" i="10"/>
  <c r="D18" i="10"/>
  <c r="D10" i="10"/>
  <c r="E33" i="10"/>
  <c r="C10" i="13"/>
  <c r="I15" i="17"/>
  <c r="E26" i="17"/>
  <c r="E16" i="17"/>
  <c r="O14" i="17"/>
  <c r="E15" i="17"/>
  <c r="Q18" i="17"/>
  <c r="P28" i="17"/>
  <c r="O18" i="17"/>
  <c r="K16" i="17"/>
  <c r="P22" i="17"/>
  <c r="Q26" i="17"/>
  <c r="P16" i="17"/>
  <c r="P26" i="17"/>
  <c r="O20" i="17"/>
  <c r="O16" i="17"/>
  <c r="P10" i="17"/>
  <c r="J8" i="17"/>
  <c r="P12" i="17"/>
  <c r="D22" i="17"/>
  <c r="P8" i="17"/>
  <c r="D21" i="17"/>
  <c r="O22" i="17"/>
  <c r="I10" i="17"/>
  <c r="J10" i="17"/>
  <c r="C28" i="17"/>
  <c r="C22" i="17"/>
  <c r="J11" i="17"/>
  <c r="J15" i="17"/>
  <c r="C21" i="17"/>
  <c r="C26" i="17"/>
  <c r="Q28" i="17"/>
  <c r="P20" i="17"/>
  <c r="Q12" i="17"/>
  <c r="C9" i="17"/>
  <c r="I14" i="17"/>
  <c r="C23" i="17"/>
  <c r="E27" i="17"/>
  <c r="P52" i="1"/>
  <c r="J14" i="17"/>
  <c r="C13" i="17"/>
  <c r="D27" i="17"/>
  <c r="C19" i="17"/>
  <c r="J7" i="17"/>
  <c r="I9" i="17"/>
  <c r="I13" i="17"/>
  <c r="Q8" i="17"/>
  <c r="I16" i="17"/>
  <c r="E20" i="17"/>
  <c r="Q24" i="17"/>
  <c r="C20" i="17"/>
  <c r="C11" i="17"/>
  <c r="O7" i="17"/>
  <c r="C10" i="17"/>
  <c r="J13" i="17"/>
  <c r="P24" i="17"/>
  <c r="D12" i="17"/>
  <c r="E12" i="17"/>
  <c r="E25" i="17"/>
  <c r="C25" i="17"/>
  <c r="E10" i="17"/>
  <c r="E17" i="17"/>
  <c r="E28" i="17"/>
  <c r="C8" i="17"/>
  <c r="D18" i="17"/>
  <c r="D8" i="17"/>
  <c r="E18" i="17"/>
  <c r="C7" i="17"/>
  <c r="J9" i="17"/>
  <c r="C16" i="17"/>
  <c r="D7" i="17"/>
  <c r="I12" i="17"/>
  <c r="C15" i="17"/>
  <c r="E24" i="17"/>
  <c r="Q27" i="17"/>
  <c r="Q25" i="17"/>
  <c r="Q23" i="17"/>
  <c r="Q21" i="17"/>
  <c r="Q19" i="17"/>
  <c r="Q17" i="17"/>
  <c r="Q15" i="17"/>
  <c r="Q13" i="17"/>
  <c r="Q11" i="17"/>
  <c r="Q9" i="17"/>
  <c r="J12" i="17"/>
  <c r="C14" i="17"/>
  <c r="E23" i="17"/>
  <c r="D24" i="17"/>
  <c r="P27" i="17"/>
  <c r="P25" i="17"/>
  <c r="P23" i="17"/>
  <c r="P21" i="17"/>
  <c r="P19" i="17"/>
  <c r="P17" i="17"/>
  <c r="P15" i="17"/>
  <c r="P13" i="17"/>
  <c r="P11" i="17"/>
  <c r="P9" i="17"/>
  <c r="E25" i="16" l="1"/>
  <c r="K12" i="17"/>
  <c r="K11" i="17"/>
  <c r="K14" i="17"/>
  <c r="K15" i="17"/>
  <c r="K8" i="17"/>
  <c r="E22" i="16"/>
  <c r="K10" i="17"/>
  <c r="E21" i="16"/>
  <c r="E7" i="17"/>
  <c r="E8" i="17"/>
  <c r="E9" i="17"/>
  <c r="E10" i="16"/>
  <c r="E8" i="16"/>
  <c r="E14" i="16"/>
  <c r="E11" i="17"/>
  <c r="F15" i="15"/>
  <c r="E8" i="15"/>
  <c r="G8" i="15"/>
  <c r="D5" i="15"/>
  <c r="G5" i="15"/>
  <c r="F6" i="10"/>
  <c r="D5" i="10"/>
  <c r="F5" i="10"/>
  <c r="E5" i="10"/>
  <c r="E49" i="16"/>
  <c r="F14" i="15"/>
  <c r="D6" i="10"/>
  <c r="E6" i="10"/>
  <c r="E52" i="1"/>
  <c r="F5" i="15"/>
  <c r="E5" i="15"/>
  <c r="D8" i="15"/>
  <c r="F8" i="15"/>
  <c r="E7" i="15"/>
  <c r="D7" i="15"/>
  <c r="F7" i="15"/>
  <c r="E8" i="10"/>
  <c r="F10" i="15"/>
  <c r="E7" i="16"/>
  <c r="M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Reich</author>
  </authors>
  <commentList>
    <comment ref="F1" authorId="0" shapeId="0" xr:uid="{00000000-0006-0000-0100-000001000000}">
      <text>
        <r>
          <rPr>
            <b/>
            <sz val="9"/>
            <color indexed="8"/>
            <rFont val="Tahoma"/>
            <family val="2"/>
          </rPr>
          <t>Geschlecht auswählen</t>
        </r>
      </text>
    </comment>
    <comment ref="G1" authorId="0" shapeId="0" xr:uid="{00000000-0006-0000-0100-000004000000}">
      <text>
        <r>
          <rPr>
            <b/>
            <sz val="9"/>
            <color indexed="8"/>
            <rFont val="Tahoma"/>
            <family val="2"/>
          </rPr>
          <t>Auswählen:
 Nein
 Ja</t>
        </r>
      </text>
    </comment>
    <comment ref="I1" authorId="0" shapeId="0" xr:uid="{00000000-0006-0000-0100-000005000000}">
      <text>
        <r>
          <rPr>
            <b/>
            <sz val="9"/>
            <color indexed="8"/>
            <rFont val="Tahoma"/>
            <family val="2"/>
          </rPr>
          <t>Auswählen:</t>
        </r>
      </text>
    </comment>
    <comment ref="K1" authorId="0" shapeId="0" xr:uid="{00000000-0006-0000-0100-000007000000}">
      <text>
        <r>
          <rPr>
            <b/>
            <sz val="9"/>
            <color indexed="8"/>
            <rFont val="Tahoma"/>
            <family val="2"/>
          </rPr>
          <t>Auswählen
Kürname in Blatt Kleingrp
Eintragen</t>
        </r>
      </text>
    </comment>
    <comment ref="L1" authorId="0" shapeId="0" xr:uid="{00000000-0006-0000-0100-000008000000}">
      <text>
        <r>
          <rPr>
            <b/>
            <sz val="9"/>
            <color indexed="8"/>
            <rFont val="Tahoma"/>
            <family val="2"/>
          </rPr>
          <t>Auswählen
 Kürname in Blatt Großgrp
eintragen</t>
        </r>
      </text>
    </comment>
    <comment ref="I2" authorId="1" shapeId="0" xr:uid="{00000000-0006-0000-0100-00000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" authorId="1" shapeId="0" xr:uid="{00000000-0006-0000-0100-00000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1" shapeId="0" xr:uid="{00000000-0006-0000-0100-00000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" authorId="1" shapeId="0" xr:uid="{00000000-0006-0000-0100-00001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1" shapeId="0" xr:uid="{00000000-0006-0000-0100-00001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" authorId="1" shapeId="0" xr:uid="{00000000-0006-0000-0100-00001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1" shapeId="0" xr:uid="{00000000-0006-0000-0100-00001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0" authorId="1" shapeId="0" xr:uid="{00000000-0006-0000-0100-00001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" authorId="1" shapeId="0" xr:uid="{00000000-0006-0000-0100-00001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2" authorId="1" shapeId="0" xr:uid="{00000000-0006-0000-0100-00001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" authorId="1" shapeId="0" xr:uid="{00000000-0006-0000-0100-00002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" authorId="1" shapeId="0" xr:uid="{00000000-0006-0000-0100-00002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1" shapeId="0" xr:uid="{00000000-0006-0000-0100-00002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6" authorId="1" shapeId="0" xr:uid="{00000000-0006-0000-0100-00002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7" authorId="1" shapeId="0" xr:uid="{00000000-0006-0000-0100-00002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8" authorId="1" shapeId="0" xr:uid="{00000000-0006-0000-0100-00002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9" authorId="1" shapeId="0" xr:uid="{00000000-0006-0000-0100-00002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0" authorId="1" shapeId="0" xr:uid="{00000000-0006-0000-0100-00002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1" authorId="1" shapeId="0" xr:uid="{00000000-0006-0000-0100-00003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2" authorId="1" shapeId="0" xr:uid="{00000000-0006-0000-0100-00003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3" authorId="1" shapeId="0" xr:uid="{00000000-0006-0000-0100-00003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4" authorId="1" shapeId="0" xr:uid="{00000000-0006-0000-0100-00003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1" shapeId="0" xr:uid="{00000000-0006-0000-0100-00003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6" authorId="1" shapeId="0" xr:uid="{00000000-0006-0000-0100-00003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1" shapeId="0" xr:uid="{00000000-0006-0000-0100-00003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1" shapeId="0" xr:uid="{00000000-0006-0000-0100-00003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1" shapeId="0" xr:uid="{00000000-0006-0000-0100-00004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0" authorId="1" shapeId="0" xr:uid="{00000000-0006-0000-0100-00004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1" authorId="1" shapeId="0" xr:uid="{00000000-0006-0000-0100-00004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2" authorId="1" shapeId="0" xr:uid="{00000000-0006-0000-0100-00004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3" authorId="1" shapeId="0" xr:uid="{00000000-0006-0000-0100-00004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4" authorId="1" shapeId="0" xr:uid="{00000000-0006-0000-0100-00004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5" authorId="1" shapeId="0" xr:uid="{00000000-0006-0000-0100-00004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6" authorId="1" shapeId="0" xr:uid="{00000000-0006-0000-0100-00004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7" authorId="1" shapeId="0" xr:uid="{00000000-0006-0000-0100-00005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8" authorId="1" shapeId="0" xr:uid="{00000000-0006-0000-0100-00005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9" authorId="1" shapeId="0" xr:uid="{00000000-0006-0000-0100-00005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0" authorId="1" shapeId="0" xr:uid="{00000000-0006-0000-0100-00005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1" authorId="1" shapeId="0" xr:uid="{00000000-0006-0000-0100-00005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2" authorId="1" shapeId="0" xr:uid="{00000000-0006-0000-0100-00005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3" authorId="1" shapeId="0" xr:uid="{00000000-0006-0000-0100-00005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4" authorId="1" shapeId="0" xr:uid="{00000000-0006-0000-0100-00005E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5" authorId="1" shapeId="0" xr:uid="{00000000-0006-0000-0100-000060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6" authorId="1" shapeId="0" xr:uid="{00000000-0006-0000-0100-000062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7" authorId="1" shapeId="0" xr:uid="{00000000-0006-0000-0100-000064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8" authorId="1" shapeId="0" xr:uid="{00000000-0006-0000-0100-000066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9" authorId="1" shapeId="0" xr:uid="{00000000-0006-0000-0100-000068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0" authorId="1" shapeId="0" xr:uid="{00000000-0006-0000-0100-00006A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1" authorId="1" shapeId="0" xr:uid="{00000000-0006-0000-0100-00006C000000}">
      <text>
        <r>
          <rPr>
            <b/>
            <sz val="9"/>
            <color indexed="81"/>
            <rFont val="Segoe UI"/>
            <family val="2"/>
          </rPr>
          <t>Bitte Paaren gleiche Nummer geben
1 - 24
selbe Zahl nur 2x!!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<sst xmlns="http://schemas.openxmlformats.org/spreadsheetml/2006/main" count="258" uniqueCount="130">
  <si>
    <t>m</t>
  </si>
  <si>
    <t>ja</t>
  </si>
  <si>
    <t>w</t>
  </si>
  <si>
    <t>Name</t>
  </si>
  <si>
    <t>Vorname</t>
  </si>
  <si>
    <t>Geb. datum</t>
  </si>
  <si>
    <t xml:space="preserve">Startgebühr </t>
  </si>
  <si>
    <t xml:space="preserve">Namen der Juroren </t>
  </si>
  <si>
    <t>Überweisung auf folgendes Konto:</t>
  </si>
  <si>
    <t>Kleingruppe</t>
  </si>
  <si>
    <t>Großgruppe</t>
  </si>
  <si>
    <t xml:space="preserve"> </t>
  </si>
  <si>
    <t>Kürname</t>
  </si>
  <si>
    <t>Paarkür</t>
  </si>
  <si>
    <t>Einzelkür</t>
  </si>
  <si>
    <t>Geschlecht</t>
  </si>
  <si>
    <t>Spalte1</t>
  </si>
  <si>
    <t>Startgebühr</t>
  </si>
  <si>
    <t>n</t>
  </si>
  <si>
    <t>Wettkampfdatum</t>
  </si>
  <si>
    <t>Kür Nr.</t>
  </si>
  <si>
    <t>LfNr</t>
  </si>
  <si>
    <t>KG1</t>
  </si>
  <si>
    <t>KG2</t>
  </si>
  <si>
    <t>Vereinskürzel</t>
  </si>
  <si>
    <t>Anmeldung</t>
  </si>
  <si>
    <t>Verein</t>
  </si>
  <si>
    <t>Ansprechpartner</t>
  </si>
  <si>
    <t>Straße</t>
  </si>
  <si>
    <t>Postleitzahl</t>
  </si>
  <si>
    <t>Wohnort</t>
  </si>
  <si>
    <t>email</t>
  </si>
  <si>
    <t>Telefon</t>
  </si>
  <si>
    <t>Handy</t>
  </si>
  <si>
    <t>Meldeschluss:</t>
  </si>
  <si>
    <t>Meldeadresse:</t>
  </si>
  <si>
    <t>KG3</t>
  </si>
  <si>
    <t>GG1</t>
  </si>
  <si>
    <t>GG2</t>
  </si>
  <si>
    <t>GG3</t>
  </si>
  <si>
    <t>Ergebnis</t>
  </si>
  <si>
    <t>Einzelküren weiblich</t>
  </si>
  <si>
    <t>Einzelküren männlich</t>
  </si>
  <si>
    <t>Fahrer</t>
  </si>
  <si>
    <t>Alter</t>
  </si>
  <si>
    <t>8 €</t>
  </si>
  <si>
    <t>Kleingruppen</t>
  </si>
  <si>
    <t>Name:</t>
  </si>
  <si>
    <t>lf.Nr.</t>
  </si>
  <si>
    <t>Ersatz</t>
  </si>
  <si>
    <t>KG4</t>
  </si>
  <si>
    <t>Alter am Wettkampftag</t>
  </si>
  <si>
    <t>Ek-Kürname</t>
  </si>
  <si>
    <t>lf.Nr. Anmeldung</t>
  </si>
  <si>
    <t>Kreissparkasse München Starnberg Ebersberg</t>
  </si>
  <si>
    <t>TSV Gilching-Argelsried, Abteilung Einrad</t>
  </si>
  <si>
    <t>Der Verein stellt laut Ausschreibung folgende Anzahl Juroren:</t>
  </si>
  <si>
    <t>1.</t>
  </si>
  <si>
    <t>2.</t>
  </si>
  <si>
    <t>3.</t>
  </si>
  <si>
    <t>4.</t>
  </si>
  <si>
    <t>5.</t>
  </si>
  <si>
    <t>&lt;5</t>
  </si>
  <si>
    <t>&lt;11</t>
  </si>
  <si>
    <t>&lt;21</t>
  </si>
  <si>
    <t>Jurorenanzahl:</t>
  </si>
  <si>
    <t>Kontakt:</t>
  </si>
  <si>
    <t>Doris Riedlberger</t>
  </si>
  <si>
    <t>bitte graue Felder ausfüllen</t>
  </si>
  <si>
    <t>TSV Gilching-Argelsried</t>
  </si>
  <si>
    <t xml:space="preserve">IBAN     DE80 7025 0150 0017 0386 96 </t>
  </si>
  <si>
    <t>Pk-Kürname</t>
  </si>
  <si>
    <t>Gruppenkürnamen bitte im dazugehörigen Blatt ergänzen.</t>
  </si>
  <si>
    <t>Alle Eingaben in Blatt "Meldung".</t>
  </si>
  <si>
    <t>Bayerische Meisterschaft Einradfreestyle</t>
  </si>
  <si>
    <t>Einrad.Anmeldung@tsv-ga.de</t>
  </si>
  <si>
    <t>12 €</t>
  </si>
  <si>
    <t>10 €</t>
  </si>
  <si>
    <t>8 €_</t>
  </si>
  <si>
    <t>Doris Segerer</t>
  </si>
  <si>
    <t>Einrad@tsv-ga.de</t>
  </si>
  <si>
    <t>22.04.</t>
  </si>
  <si>
    <t>Verwendungszweck: BM 2023 Startgebühr &gt;Vereinsname&lt;</t>
  </si>
  <si>
    <t xml:space="preserve">Juryabfrage </t>
  </si>
  <si>
    <t xml:space="preserve">Vorläufe </t>
  </si>
  <si>
    <t>Finals</t>
  </si>
  <si>
    <t>Gruppenküren</t>
  </si>
  <si>
    <t>Einzel
männlich</t>
  </si>
  <si>
    <t>Einzel
Jr-Expert</t>
  </si>
  <si>
    <t>Paar
Jr-Expert</t>
  </si>
  <si>
    <t>Kleingruppe
U15</t>
  </si>
  <si>
    <t>Kleingruppe
15+</t>
  </si>
  <si>
    <t>Großgruppe
15+</t>
  </si>
  <si>
    <t>A</t>
  </si>
  <si>
    <t>T</t>
  </si>
  <si>
    <t>P</t>
  </si>
  <si>
    <t>Samstag, 22.04.2023</t>
  </si>
  <si>
    <t>Sonntag, 23.04.2023</t>
  </si>
  <si>
    <t>Großgruppe
U15</t>
  </si>
  <si>
    <t>Der Verein</t>
  </si>
  <si>
    <t>Namen der Juroren:</t>
  </si>
  <si>
    <t>#</t>
  </si>
  <si>
    <r>
      <t>Startgebühr je Teilnehmer</t>
    </r>
    <r>
      <rPr>
        <b/>
        <sz val="12"/>
        <rFont val="Calibri"/>
        <family val="2"/>
        <scheme val="minor"/>
      </rPr>
      <t xml:space="preserve">: </t>
    </r>
  </si>
  <si>
    <t>Anzahl der Teilnehmer</t>
  </si>
  <si>
    <t>Anzahl der Juroren</t>
  </si>
  <si>
    <t>11 … 15</t>
  </si>
  <si>
    <t>16 … 20</t>
  </si>
  <si>
    <t>21 … 25</t>
  </si>
  <si>
    <t>Ab 26</t>
  </si>
  <si>
    <t>Alle Vereine sind verpflichtet, abhängig von der Teilnehmerzahl eine bestimmte Mindestanzahl an ausgebildeten Juroren zu stellen (gerne auch mehr):</t>
  </si>
  <si>
    <t xml:space="preserve">  5 … 10</t>
  </si>
  <si>
    <t xml:space="preserve">  1 … 4</t>
  </si>
  <si>
    <t>Fehlende Juroren je:</t>
  </si>
  <si>
    <t>Einzelkür:</t>
  </si>
  <si>
    <t>Paarkür:</t>
  </si>
  <si>
    <t>Kleingruppe:</t>
  </si>
  <si>
    <t>Großgruppe:</t>
  </si>
  <si>
    <t xml:space="preserve">Bitte ankreuzen  X  wo ihr werten könnnt: </t>
  </si>
  <si>
    <t>ist verpflichtet folgende Mindest-anzahl Juroren zu stellen:</t>
  </si>
  <si>
    <t>&lt;16</t>
  </si>
  <si>
    <t>&lt;26</t>
  </si>
  <si>
    <t>Einzel Junior
U11/U13/U15</t>
  </si>
  <si>
    <t>Einzel Expert
U17/U19/U21</t>
  </si>
  <si>
    <t>Einzel Senior
U23/U25/25+</t>
  </si>
  <si>
    <t>Paar Junior
U11/U13/U15</t>
  </si>
  <si>
    <t>Paar Expert
U17/U19/U21</t>
  </si>
  <si>
    <t>Paar Senior
U23/U25/25+</t>
  </si>
  <si>
    <t>Einzel
Expert/Senior</t>
  </si>
  <si>
    <t>Paar
Expert/Senior</t>
  </si>
  <si>
    <t>Bayerische Meisterschaft Einrad Freestyle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</si>
</sst>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"/>
    <numFmt numFmtId="165" formatCode="d/mm;@"/>
    <numFmt numFmtId="166" formatCode="&quot; - &quot;dd/mm/yyyy"/>
    <numFmt numFmtId="167" formatCode="#,##0\ &quot;€&quot;"/>
    <numFmt numFmtId="168" formatCode="&quot;- &quot;dd/mm/yyyy"/>
    <numFmt numFmtId="169" formatCode="dd/mm;@"/>
  </numFmts>
  <fonts count="59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0"/>
      <name val="Calibri"/>
      <family val="2"/>
      <scheme val="minor"/>
    </font>
    <font>
      <b/>
      <u/>
      <sz val="22"/>
      <name val="Arial"/>
      <family val="2"/>
    </font>
    <font>
      <sz val="1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0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22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.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B6FF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FF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EBAB"/>
        <bgColor indexed="22"/>
      </patternFill>
    </fill>
    <fill>
      <patternFill patternType="solid">
        <fgColor rgb="FFD5FB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B746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4A8BC6"/>
        <bgColor indexed="64"/>
      </patternFill>
    </fill>
  </fills>
  <borders count="10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1" tint="0.34998626667073579"/>
      </left>
      <right style="thin">
        <color theme="5" tint="-0.24994659260841701"/>
      </right>
      <top style="medium">
        <color theme="1" tint="0.34998626667073579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1" tint="0.34998626667073579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1" tint="0.34998626667073579"/>
      </right>
      <top style="medium">
        <color theme="1" tint="0.34998626667073579"/>
      </top>
      <bottom style="thin">
        <color theme="5" tint="-0.24994659260841701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theme="0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/>
      </left>
      <right style="thin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auto="1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rgb="FF007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thin">
        <color rgb="FF0070C0"/>
      </top>
      <bottom style="thin">
        <color rgb="FF0070C0"/>
      </bottom>
      <diagonal/>
    </border>
    <border>
      <left/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0"/>
    <xf numFmtId="0" fontId="7" fillId="8" borderId="14">
      <alignment horizontal="center" vertical="center"/>
      <protection locked="0"/>
    </xf>
  </cellStyleXfs>
  <cellXfs count="380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9" fillId="0" borderId="0" xfId="2" applyFont="1"/>
    <xf numFmtId="0" fontId="7" fillId="0" borderId="0" xfId="0" applyFont="1"/>
    <xf numFmtId="0" fontId="8" fillId="0" borderId="0" xfId="2" applyFont="1" applyAlignment="1">
      <alignment horizontal="center"/>
    </xf>
    <xf numFmtId="0" fontId="10" fillId="0" borderId="0" xfId="2" applyFont="1"/>
    <xf numFmtId="0" fontId="12" fillId="0" borderId="0" xfId="2" applyFont="1"/>
    <xf numFmtId="0" fontId="12" fillId="0" borderId="0" xfId="2" applyFont="1" applyAlignment="1">
      <alignment horizontal="left"/>
    </xf>
    <xf numFmtId="0" fontId="15" fillId="0" borderId="8" xfId="2" applyFont="1" applyBorder="1"/>
    <xf numFmtId="0" fontId="8" fillId="0" borderId="0" xfId="2" applyFont="1" applyAlignment="1">
      <alignment horizontal="left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2" applyNumberFormat="1" applyFont="1" applyAlignment="1">
      <alignment vertical="center"/>
    </xf>
    <xf numFmtId="166" fontId="24" fillId="0" borderId="0" xfId="2" applyNumberFormat="1" applyFont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0" applyFon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25" fillId="0" borderId="0" xfId="0" applyFont="1"/>
    <xf numFmtId="0" fontId="13" fillId="0" borderId="0" xfId="0" applyFont="1"/>
    <xf numFmtId="167" fontId="0" fillId="0" borderId="18" xfId="0" applyNumberFormat="1" applyBorder="1" applyAlignment="1">
      <alignment horizontal="center" vertical="center"/>
    </xf>
    <xf numFmtId="0" fontId="15" fillId="10" borderId="8" xfId="2" applyFont="1" applyFill="1" applyBorder="1" applyAlignment="1">
      <alignment vertical="center"/>
    </xf>
    <xf numFmtId="0" fontId="13" fillId="12" borderId="27" xfId="0" applyFont="1" applyFill="1" applyBorder="1" applyAlignment="1">
      <alignment horizontal="center" vertical="center"/>
    </xf>
    <xf numFmtId="0" fontId="0" fillId="7" borderId="19" xfId="0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3" fillId="7" borderId="0" xfId="0" applyFont="1" applyFill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textRotation="90" wrapText="1"/>
    </xf>
    <xf numFmtId="0" fontId="13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textRotation="90" wrapText="1"/>
    </xf>
    <xf numFmtId="0" fontId="14" fillId="4" borderId="34" xfId="0" applyFont="1" applyFill="1" applyBorder="1" applyAlignment="1">
      <alignment horizontal="center" vertical="center" textRotation="90" wrapText="1"/>
    </xf>
    <xf numFmtId="0" fontId="0" fillId="0" borderId="37" xfId="0" applyBorder="1"/>
    <xf numFmtId="0" fontId="11" fillId="0" borderId="0" xfId="2" applyFont="1" applyAlignment="1">
      <alignment horizontal="center" vertical="center"/>
    </xf>
    <xf numFmtId="0" fontId="16" fillId="12" borderId="4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/>
    </xf>
    <xf numFmtId="0" fontId="11" fillId="12" borderId="41" xfId="0" applyFont="1" applyFill="1" applyBorder="1" applyAlignment="1">
      <alignment horizontal="center" vertical="center" wrapText="1"/>
    </xf>
    <xf numFmtId="0" fontId="0" fillId="7" borderId="0" xfId="0" applyFill="1"/>
    <xf numFmtId="0" fontId="27" fillId="4" borderId="33" xfId="0" applyFont="1" applyFill="1" applyBorder="1" applyAlignment="1">
      <alignment horizontal="center" vertical="center" textRotation="90" wrapText="1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13" fillId="12" borderId="44" xfId="0" applyFont="1" applyFill="1" applyBorder="1" applyAlignment="1">
      <alignment horizontal="center" vertical="center"/>
    </xf>
    <xf numFmtId="0" fontId="17" fillId="10" borderId="24" xfId="2" applyFont="1" applyFill="1" applyBorder="1" applyAlignment="1">
      <alignment vertical="center"/>
    </xf>
    <xf numFmtId="0" fontId="11" fillId="0" borderId="0" xfId="2" applyFont="1"/>
    <xf numFmtId="0" fontId="15" fillId="10" borderId="22" xfId="2" applyFont="1" applyFill="1" applyBorder="1" applyAlignment="1">
      <alignment vertical="center"/>
    </xf>
    <xf numFmtId="0" fontId="11" fillId="10" borderId="23" xfId="2" applyFont="1" applyFill="1" applyBorder="1"/>
    <xf numFmtId="0" fontId="7" fillId="0" borderId="0" xfId="0" applyFont="1" applyAlignment="1">
      <alignment vertical="center"/>
    </xf>
    <xf numFmtId="0" fontId="8" fillId="10" borderId="25" xfId="2" applyFont="1" applyFill="1" applyBorder="1" applyAlignment="1">
      <alignment vertical="center"/>
    </xf>
    <xf numFmtId="0" fontId="13" fillId="0" borderId="28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1" fontId="13" fillId="0" borderId="42" xfId="2" applyNumberFormat="1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3" fillId="0" borderId="30" xfId="2" applyFont="1" applyBorder="1" applyAlignment="1">
      <alignment horizontal="left" vertical="center"/>
    </xf>
    <xf numFmtId="1" fontId="13" fillId="0" borderId="43" xfId="2" applyNumberFormat="1" applyFont="1" applyBorder="1" applyAlignment="1">
      <alignment horizontal="center" vertical="center"/>
    </xf>
    <xf numFmtId="14" fontId="12" fillId="0" borderId="0" xfId="2" applyNumberFormat="1" applyFont="1"/>
    <xf numFmtId="1" fontId="13" fillId="0" borderId="0" xfId="2" applyNumberFormat="1" applyFont="1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13" fillId="15" borderId="6" xfId="2" applyFont="1" applyFill="1" applyBorder="1" applyAlignment="1">
      <alignment horizontal="center" vertical="center"/>
    </xf>
    <xf numFmtId="0" fontId="13" fillId="15" borderId="40" xfId="2" applyFont="1" applyFill="1" applyBorder="1" applyAlignment="1">
      <alignment horizontal="center" vertical="center"/>
    </xf>
    <xf numFmtId="0" fontId="11" fillId="15" borderId="40" xfId="2" applyFont="1" applyFill="1" applyBorder="1" applyAlignment="1">
      <alignment horizontal="center" vertical="center" wrapText="1"/>
    </xf>
    <xf numFmtId="0" fontId="16" fillId="15" borderId="6" xfId="2" applyFont="1" applyFill="1" applyBorder="1" applyAlignment="1">
      <alignment horizontal="center" vertical="center" wrapText="1"/>
    </xf>
    <xf numFmtId="0" fontId="11" fillId="15" borderId="6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0" fillId="16" borderId="14" xfId="0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13" fillId="17" borderId="47" xfId="0" applyFont="1" applyFill="1" applyBorder="1" applyAlignment="1">
      <alignment horizontal="center" vertical="center"/>
    </xf>
    <xf numFmtId="0" fontId="0" fillId="17" borderId="50" xfId="0" applyFill="1" applyBorder="1" applyAlignment="1">
      <alignment horizontal="center" vertical="center"/>
    </xf>
    <xf numFmtId="0" fontId="13" fillId="17" borderId="50" xfId="0" applyFont="1" applyFill="1" applyBorder="1" applyAlignment="1">
      <alignment vertical="center"/>
    </xf>
    <xf numFmtId="0" fontId="13" fillId="17" borderId="51" xfId="0" applyFont="1" applyFill="1" applyBorder="1" applyAlignment="1">
      <alignment vertical="center"/>
    </xf>
    <xf numFmtId="0" fontId="0" fillId="17" borderId="16" xfId="0" applyFill="1" applyBorder="1" applyAlignment="1">
      <alignment vertical="center"/>
    </xf>
    <xf numFmtId="0" fontId="0" fillId="17" borderId="52" xfId="0" applyFill="1" applyBorder="1" applyAlignment="1">
      <alignment horizontal="center" vertical="center"/>
    </xf>
    <xf numFmtId="0" fontId="13" fillId="17" borderId="52" xfId="0" applyFont="1" applyFill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17" borderId="16" xfId="0" applyFill="1" applyBorder="1" applyAlignment="1">
      <alignment horizontal="center" vertical="center"/>
    </xf>
    <xf numFmtId="0" fontId="13" fillId="0" borderId="12" xfId="0" applyFont="1" applyBorder="1" applyAlignment="1">
      <alignment horizontal="right" vertical="center" indent="1"/>
    </xf>
    <xf numFmtId="0" fontId="13" fillId="0" borderId="52" xfId="0" applyFont="1" applyBorder="1" applyAlignment="1">
      <alignment horizontal="right" vertical="center" indent="1"/>
    </xf>
    <xf numFmtId="0" fontId="13" fillId="17" borderId="50" xfId="0" applyFont="1" applyFill="1" applyBorder="1" applyAlignment="1">
      <alignment horizontal="right" vertical="center" indent="1"/>
    </xf>
    <xf numFmtId="0" fontId="13" fillId="17" borderId="52" xfId="0" applyFont="1" applyFill="1" applyBorder="1" applyAlignment="1">
      <alignment horizontal="right" vertical="center" indent="1"/>
    </xf>
    <xf numFmtId="0" fontId="13" fillId="0" borderId="50" xfId="0" applyFont="1" applyBorder="1" applyAlignment="1">
      <alignment horizontal="right" vertical="center" indent="1"/>
    </xf>
    <xf numFmtId="0" fontId="13" fillId="0" borderId="8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24" fillId="0" borderId="0" xfId="2" applyFont="1" applyAlignment="1">
      <alignment horizontal="left"/>
    </xf>
    <xf numFmtId="0" fontId="16" fillId="15" borderId="40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left" vertical="center"/>
    </xf>
    <xf numFmtId="0" fontId="28" fillId="0" borderId="0" xfId="2" applyFont="1"/>
    <xf numFmtId="168" fontId="29" fillId="0" borderId="0" xfId="0" applyNumberFormat="1" applyFont="1" applyAlignment="1">
      <alignment horizontal="left"/>
    </xf>
    <xf numFmtId="0" fontId="12" fillId="14" borderId="6" xfId="2" applyFont="1" applyFill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1" fontId="13" fillId="0" borderId="7" xfId="2" applyNumberFormat="1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1" fontId="13" fillId="0" borderId="3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1" fontId="13" fillId="0" borderId="1" xfId="2" applyNumberFormat="1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8" fillId="0" borderId="0" xfId="0" applyFont="1"/>
    <xf numFmtId="0" fontId="13" fillId="0" borderId="42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8" fillId="0" borderId="30" xfId="0" applyFont="1" applyBorder="1"/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37" fillId="0" borderId="0" xfId="2" applyNumberFormat="1" applyFont="1" applyAlignment="1">
      <alignment horizontal="left" vertical="center"/>
    </xf>
    <xf numFmtId="166" fontId="36" fillId="0" borderId="0" xfId="2" applyNumberFormat="1" applyFont="1" applyAlignment="1">
      <alignment vertical="center"/>
    </xf>
    <xf numFmtId="0" fontId="32" fillId="0" borderId="0" xfId="2" applyFont="1"/>
    <xf numFmtId="0" fontId="30" fillId="0" borderId="0" xfId="1" applyFont="1"/>
    <xf numFmtId="0" fontId="8" fillId="0" borderId="0" xfId="2" applyFont="1"/>
    <xf numFmtId="0" fontId="15" fillId="0" borderId="20" xfId="2" applyFont="1" applyBorder="1" applyAlignment="1">
      <alignment vertical="center"/>
    </xf>
    <xf numFmtId="0" fontId="15" fillId="0" borderId="0" xfId="2" applyFont="1" applyAlignment="1">
      <alignment vertical="center"/>
    </xf>
    <xf numFmtId="167" fontId="15" fillId="11" borderId="20" xfId="2" applyNumberFormat="1" applyFont="1" applyFill="1" applyBorder="1" applyAlignment="1">
      <alignment horizontal="center" vertical="center"/>
    </xf>
    <xf numFmtId="167" fontId="8" fillId="0" borderId="0" xfId="2" applyNumberFormat="1" applyFont="1"/>
    <xf numFmtId="0" fontId="33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11" fillId="0" borderId="55" xfId="2" applyFont="1" applyBorder="1" applyAlignment="1">
      <alignment horizontal="left"/>
    </xf>
    <xf numFmtId="0" fontId="12" fillId="18" borderId="56" xfId="2" applyFont="1" applyFill="1" applyBorder="1" applyAlignment="1">
      <alignment horizontal="left" vertical="center"/>
    </xf>
    <xf numFmtId="0" fontId="12" fillId="18" borderId="56" xfId="2" applyFont="1" applyFill="1" applyBorder="1" applyAlignment="1">
      <alignment horizontal="left" wrapText="1"/>
    </xf>
    <xf numFmtId="0" fontId="9" fillId="0" borderId="57" xfId="2" applyFont="1" applyBorder="1" applyAlignment="1">
      <alignment horizontal="left" wrapText="1"/>
    </xf>
    <xf numFmtId="0" fontId="9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12" fillId="18" borderId="0" xfId="2" applyFont="1" applyFill="1" applyAlignment="1">
      <alignment horizontal="left"/>
    </xf>
    <xf numFmtId="0" fontId="12" fillId="18" borderId="0" xfId="2" applyFont="1" applyFill="1" applyAlignment="1">
      <alignment horizontal="left" wrapText="1"/>
    </xf>
    <xf numFmtId="0" fontId="12" fillId="11" borderId="0" xfId="2" applyFont="1" applyFill="1" applyAlignment="1">
      <alignment horizontal="left"/>
    </xf>
    <xf numFmtId="0" fontId="11" fillId="0" borderId="57" xfId="2" applyFont="1" applyBorder="1" applyAlignment="1">
      <alignment horizontal="left"/>
    </xf>
    <xf numFmtId="0" fontId="12" fillId="11" borderId="58" xfId="2" applyFont="1" applyFill="1" applyBorder="1" applyAlignment="1">
      <alignment horizontal="left"/>
    </xf>
    <xf numFmtId="0" fontId="11" fillId="2" borderId="0" xfId="2" applyFont="1" applyFill="1"/>
    <xf numFmtId="0" fontId="14" fillId="4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49" fontId="0" fillId="13" borderId="11" xfId="0" applyNumberFormat="1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3" borderId="11" xfId="0" applyFill="1" applyBorder="1"/>
    <xf numFmtId="0" fontId="0" fillId="19" borderId="38" xfId="0" applyFill="1" applyBorder="1"/>
    <xf numFmtId="0" fontId="0" fillId="19" borderId="38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/>
    </xf>
    <xf numFmtId="0" fontId="0" fillId="19" borderId="59" xfId="0" applyFill="1" applyBorder="1" applyAlignment="1">
      <alignment horizontal="center" vertical="center"/>
    </xf>
    <xf numFmtId="0" fontId="13" fillId="19" borderId="59" xfId="0" applyFont="1" applyFill="1" applyBorder="1" applyAlignment="1">
      <alignment horizontal="center" vertical="center"/>
    </xf>
    <xf numFmtId="167" fontId="14" fillId="19" borderId="36" xfId="0" applyNumberFormat="1" applyFont="1" applyFill="1" applyBorder="1" applyAlignment="1">
      <alignment horizontal="center" vertical="center"/>
    </xf>
    <xf numFmtId="0" fontId="0" fillId="6" borderId="14" xfId="0" applyFill="1" applyBorder="1" applyAlignment="1" applyProtection="1">
      <alignment horizontal="left" vertical="center"/>
      <protection locked="0"/>
    </xf>
    <xf numFmtId="0" fontId="0" fillId="16" borderId="14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16" borderId="17" xfId="0" applyFill="1" applyBorder="1" applyAlignment="1" applyProtection="1">
      <alignment horizontal="left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 indent="2"/>
    </xf>
    <xf numFmtId="0" fontId="8" fillId="0" borderId="0" xfId="2" applyFont="1" applyAlignment="1">
      <alignment vertical="center"/>
    </xf>
    <xf numFmtId="1" fontId="13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13" fillId="0" borderId="5" xfId="2" applyFont="1" applyBorder="1" applyAlignment="1">
      <alignment horizontal="right" vertical="center" indent="1"/>
    </xf>
    <xf numFmtId="0" fontId="13" fillId="0" borderId="10" xfId="2" applyFont="1" applyBorder="1" applyAlignment="1">
      <alignment horizontal="right" vertical="center" indent="1"/>
    </xf>
    <xf numFmtId="1" fontId="13" fillId="0" borderId="7" xfId="2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11" borderId="60" xfId="2" applyFont="1" applyFill="1" applyBorder="1" applyAlignment="1">
      <alignment horizontal="center" vertical="center"/>
    </xf>
    <xf numFmtId="0" fontId="36" fillId="0" borderId="0" xfId="2" applyFont="1" applyAlignment="1">
      <alignment horizontal="left"/>
    </xf>
    <xf numFmtId="165" fontId="8" fillId="0" borderId="0" xfId="2" applyNumberFormat="1" applyFont="1" applyAlignment="1">
      <alignment horizontal="right"/>
    </xf>
    <xf numFmtId="0" fontId="14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5" fillId="20" borderId="0" xfId="0" applyFont="1" applyFill="1" applyAlignment="1">
      <alignment vertical="center"/>
    </xf>
    <xf numFmtId="0" fontId="0" fillId="0" borderId="0" xfId="2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11" fillId="10" borderId="23" xfId="2" applyFont="1" applyFill="1" applyBorder="1" applyAlignment="1">
      <alignment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center" vertical="center" wrapText="1"/>
    </xf>
    <xf numFmtId="0" fontId="0" fillId="0" borderId="0" xfId="0" quotePrefix="1" applyAlignment="1" applyProtection="1">
      <alignment horizontal="left" vertical="center"/>
      <protection locked="0"/>
    </xf>
    <xf numFmtId="0" fontId="1" fillId="0" borderId="0" xfId="1" applyAlignment="1" applyProtection="1">
      <alignment vertical="center"/>
      <protection locked="0"/>
    </xf>
    <xf numFmtId="169" fontId="37" fillId="0" borderId="0" xfId="2" applyNumberFormat="1" applyFont="1" applyAlignment="1">
      <alignment horizontal="right" vertical="center"/>
    </xf>
    <xf numFmtId="0" fontId="13" fillId="0" borderId="61" xfId="0" applyFont="1" applyBorder="1" applyAlignment="1">
      <alignment vertical="center"/>
    </xf>
    <xf numFmtId="0" fontId="13" fillId="17" borderId="62" xfId="0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Protection="1">
      <protection locked="0"/>
    </xf>
    <xf numFmtId="164" fontId="4" fillId="0" borderId="0" xfId="0" applyNumberFormat="1" applyFont="1" applyFill="1" applyBorder="1" applyAlignment="1">
      <alignment horizontal="left" vertical="center" indent="2"/>
    </xf>
    <xf numFmtId="0" fontId="45" fillId="0" borderId="30" xfId="2" applyNumberFormat="1" applyFont="1" applyFill="1" applyBorder="1" applyAlignment="1" applyProtection="1">
      <alignment horizontal="left" vertical="center"/>
    </xf>
    <xf numFmtId="0" fontId="0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45" fillId="0" borderId="0" xfId="2" applyNumberFormat="1" applyFont="1" applyFill="1" applyBorder="1" applyAlignment="1" applyProtection="1">
      <alignment horizontal="left" vertical="center"/>
    </xf>
    <xf numFmtId="0" fontId="46" fillId="0" borderId="0" xfId="2" applyNumberFormat="1" applyFont="1" applyFill="1" applyBorder="1" applyAlignment="1" applyProtection="1">
      <alignment horizontal="left" vertical="center"/>
    </xf>
    <xf numFmtId="0" fontId="46" fillId="0" borderId="30" xfId="2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18" fillId="0" borderId="0" xfId="0" applyFont="1" applyBorder="1"/>
    <xf numFmtId="167" fontId="0" fillId="4" borderId="14" xfId="0" applyNumberFormat="1" applyFont="1" applyFill="1" applyBorder="1" applyAlignment="1">
      <alignment horizontal="right" vertical="center" indent="1"/>
    </xf>
    <xf numFmtId="169" fontId="24" fillId="0" borderId="0" xfId="2" applyNumberFormat="1" applyFont="1" applyAlignment="1">
      <alignment horizontal="right" vertical="center"/>
    </xf>
    <xf numFmtId="49" fontId="47" fillId="0" borderId="85" xfId="0" applyNumberFormat="1" applyFont="1" applyBorder="1" applyAlignment="1" applyProtection="1">
      <alignment horizontal="center" vertical="center"/>
      <protection locked="0"/>
    </xf>
    <xf numFmtId="49" fontId="47" fillId="0" borderId="86" xfId="0" applyNumberFormat="1" applyFont="1" applyBorder="1" applyAlignment="1" applyProtection="1">
      <alignment horizontal="center" vertical="center"/>
      <protection locked="0"/>
    </xf>
    <xf numFmtId="0" fontId="47" fillId="0" borderId="87" xfId="0" applyFont="1" applyBorder="1" applyAlignment="1" applyProtection="1">
      <alignment horizontal="center" vertical="center"/>
      <protection locked="0"/>
    </xf>
    <xf numFmtId="49" fontId="47" fillId="0" borderId="88" xfId="0" applyNumberFormat="1" applyFont="1" applyBorder="1" applyAlignment="1" applyProtection="1">
      <alignment horizontal="center" vertical="center"/>
      <protection locked="0"/>
    </xf>
    <xf numFmtId="49" fontId="47" fillId="0" borderId="89" xfId="0" applyNumberFormat="1" applyFont="1" applyBorder="1" applyAlignment="1" applyProtection="1">
      <alignment horizontal="center" vertical="center"/>
      <protection locked="0"/>
    </xf>
    <xf numFmtId="0" fontId="47" fillId="0" borderId="90" xfId="0" applyFont="1" applyBorder="1" applyAlignment="1" applyProtection="1">
      <alignment horizontal="center" vertical="center"/>
      <protection locked="0"/>
    </xf>
    <xf numFmtId="49" fontId="47" fillId="27" borderId="82" xfId="0" applyNumberFormat="1" applyFont="1" applyFill="1" applyBorder="1" applyAlignment="1" applyProtection="1">
      <alignment horizontal="center" vertical="center"/>
      <protection locked="0"/>
    </xf>
    <xf numFmtId="49" fontId="47" fillId="27" borderId="83" xfId="0" applyNumberFormat="1" applyFont="1" applyFill="1" applyBorder="1" applyAlignment="1" applyProtection="1">
      <alignment horizontal="center" vertical="center"/>
      <protection locked="0"/>
    </xf>
    <xf numFmtId="0" fontId="47" fillId="27" borderId="84" xfId="0" applyFont="1" applyFill="1" applyBorder="1" applyAlignment="1" applyProtection="1">
      <alignment horizontal="center" vertical="center"/>
      <protection locked="0"/>
    </xf>
    <xf numFmtId="49" fontId="47" fillId="27" borderId="85" xfId="0" applyNumberFormat="1" applyFont="1" applyFill="1" applyBorder="1" applyAlignment="1" applyProtection="1">
      <alignment horizontal="center" vertical="center"/>
      <protection locked="0"/>
    </xf>
    <xf numFmtId="49" fontId="47" fillId="27" borderId="86" xfId="0" applyNumberFormat="1" applyFont="1" applyFill="1" applyBorder="1" applyAlignment="1" applyProtection="1">
      <alignment horizontal="center" vertical="center"/>
      <protection locked="0"/>
    </xf>
    <xf numFmtId="0" fontId="47" fillId="27" borderId="87" xfId="0" applyFont="1" applyFill="1" applyBorder="1" applyAlignment="1" applyProtection="1">
      <alignment horizontal="center" vertical="center"/>
      <protection locked="0"/>
    </xf>
    <xf numFmtId="0" fontId="40" fillId="27" borderId="93" xfId="0" applyFont="1" applyFill="1" applyBorder="1" applyAlignment="1" applyProtection="1">
      <alignment horizontal="left" vertical="center"/>
      <protection locked="0"/>
    </xf>
    <xf numFmtId="0" fontId="40" fillId="3" borderId="94" xfId="0" applyFont="1" applyFill="1" applyBorder="1" applyAlignment="1" applyProtection="1">
      <alignment horizontal="left" vertical="center"/>
      <protection locked="0"/>
    </xf>
    <xf numFmtId="0" fontId="40" fillId="27" borderId="94" xfId="0" applyFont="1" applyFill="1" applyBorder="1" applyAlignment="1" applyProtection="1">
      <alignment horizontal="left" vertical="center"/>
      <protection locked="0"/>
    </xf>
    <xf numFmtId="0" fontId="40" fillId="3" borderId="95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8" fillId="5" borderId="91" xfId="0" applyFont="1" applyFill="1" applyBorder="1" applyAlignment="1" applyProtection="1">
      <alignment horizontal="center" vertical="center"/>
      <protection hidden="1"/>
    </xf>
    <xf numFmtId="0" fontId="48" fillId="0" borderId="58" xfId="0" applyFont="1" applyFill="1" applyBorder="1" applyAlignment="1" applyProtection="1">
      <alignment horizontal="left" vertical="center"/>
      <protection hidden="1"/>
    </xf>
    <xf numFmtId="0" fontId="51" fillId="0" borderId="81" xfId="0" applyFont="1" applyBorder="1" applyAlignment="1" applyProtection="1">
      <alignment textRotation="90"/>
      <protection hidden="1"/>
    </xf>
    <xf numFmtId="0" fontId="5" fillId="24" borderId="68" xfId="0" applyFont="1" applyFill="1" applyBorder="1" applyAlignment="1" applyProtection="1">
      <alignment horizontal="center" vertical="center"/>
      <protection hidden="1"/>
    </xf>
    <xf numFmtId="0" fontId="5" fillId="25" borderId="64" xfId="0" applyFont="1" applyFill="1" applyBorder="1" applyAlignment="1" applyProtection="1">
      <alignment horizontal="center" vertical="center"/>
      <protection hidden="1"/>
    </xf>
    <xf numFmtId="0" fontId="5" fillId="26" borderId="69" xfId="0" applyFont="1" applyFill="1" applyBorder="1" applyAlignment="1" applyProtection="1">
      <alignment horizontal="center" vertical="center"/>
      <protection hidden="1"/>
    </xf>
    <xf numFmtId="0" fontId="5" fillId="26" borderId="53" xfId="0" applyFont="1" applyFill="1" applyBorder="1" applyAlignment="1" applyProtection="1">
      <alignment horizontal="center" vertical="center"/>
      <protection hidden="1"/>
    </xf>
    <xf numFmtId="0" fontId="5" fillId="24" borderId="70" xfId="0" applyFont="1" applyFill="1" applyBorder="1" applyAlignment="1" applyProtection="1">
      <alignment horizontal="center" vertical="center"/>
      <protection hidden="1"/>
    </xf>
    <xf numFmtId="0" fontId="40" fillId="3" borderId="97" xfId="0" applyFont="1" applyFill="1" applyBorder="1" applyAlignment="1" applyProtection="1">
      <alignment horizontal="right" vertical="center"/>
      <protection hidden="1"/>
    </xf>
    <xf numFmtId="0" fontId="40" fillId="3" borderId="85" xfId="0" applyFont="1" applyFill="1" applyBorder="1" applyAlignment="1" applyProtection="1">
      <alignment horizontal="right" vertical="center"/>
      <protection hidden="1"/>
    </xf>
    <xf numFmtId="0" fontId="40" fillId="3" borderId="88" xfId="0" applyFont="1" applyFill="1" applyBorder="1" applyAlignment="1" applyProtection="1">
      <alignment horizontal="right" vertical="center"/>
      <protection hidden="1"/>
    </xf>
    <xf numFmtId="0" fontId="13" fillId="0" borderId="0" xfId="0" applyFont="1" applyProtection="1">
      <protection hidden="1"/>
    </xf>
    <xf numFmtId="164" fontId="4" fillId="0" borderId="0" xfId="0" applyNumberFormat="1" applyFont="1" applyFill="1" applyBorder="1" applyAlignment="1">
      <alignment horizontal="left" vertical="center"/>
    </xf>
    <xf numFmtId="0" fontId="25" fillId="3" borderId="0" xfId="0" applyFont="1" applyFill="1" applyProtection="1"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quotePrefix="1" applyFont="1" applyBorder="1" applyAlignment="1" applyProtection="1">
      <alignment horizontal="left" indent="5"/>
      <protection hidden="1"/>
    </xf>
    <xf numFmtId="0" fontId="14" fillId="0" borderId="0" xfId="0" applyFont="1" applyBorder="1" applyAlignment="1" applyProtection="1">
      <alignment horizontal="left" indent="5"/>
      <protection hidden="1"/>
    </xf>
    <xf numFmtId="0" fontId="5" fillId="0" borderId="0" xfId="0" applyFont="1" applyBorder="1" applyAlignment="1" applyProtection="1">
      <alignment horizontal="left" indent="5"/>
      <protection hidden="1"/>
    </xf>
    <xf numFmtId="0" fontId="5" fillId="0" borderId="0" xfId="0" quotePrefix="1" applyFont="1" applyBorder="1" applyAlignment="1" applyProtection="1">
      <protection hidden="1"/>
    </xf>
    <xf numFmtId="0" fontId="14" fillId="0" borderId="21" xfId="0" applyFont="1" applyBorder="1" applyAlignment="1" applyProtection="1">
      <alignment horizontal="left" indent="3"/>
      <protection hidden="1"/>
    </xf>
    <xf numFmtId="0" fontId="5" fillId="0" borderId="65" xfId="0" quotePrefix="1" applyFont="1" applyBorder="1" applyAlignment="1" applyProtection="1">
      <alignment horizontal="left" indent="8"/>
      <protection hidden="1"/>
    </xf>
    <xf numFmtId="0" fontId="14" fillId="0" borderId="77" xfId="0" quotePrefix="1" applyFont="1" applyBorder="1" applyAlignment="1" applyProtection="1">
      <alignment horizontal="left" indent="8"/>
      <protection hidden="1"/>
    </xf>
    <xf numFmtId="0" fontId="14" fillId="0" borderId="77" xfId="0" applyFont="1" applyBorder="1" applyAlignment="1" applyProtection="1">
      <alignment horizontal="left" indent="8"/>
      <protection hidden="1"/>
    </xf>
    <xf numFmtId="0" fontId="5" fillId="0" borderId="77" xfId="0" applyFont="1" applyBorder="1" applyAlignment="1" applyProtection="1">
      <alignment horizontal="left" indent="8"/>
      <protection hidden="1"/>
    </xf>
    <xf numFmtId="0" fontId="5" fillId="0" borderId="78" xfId="0" applyFont="1" applyBorder="1" applyAlignment="1" applyProtection="1">
      <alignment horizontal="left" indent="8"/>
      <protection hidden="1"/>
    </xf>
    <xf numFmtId="0" fontId="49" fillId="0" borderId="96" xfId="0" applyFont="1" applyFill="1" applyBorder="1" applyAlignment="1" applyProtection="1">
      <alignment horizontal="center" vertical="center"/>
      <protection hidden="1"/>
    </xf>
    <xf numFmtId="14" fontId="36" fillId="0" borderId="0" xfId="2" applyNumberFormat="1" applyFont="1" applyAlignment="1">
      <alignment horizontal="left" vertical="center" shrinkToFit="1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164" fontId="40" fillId="0" borderId="0" xfId="0" applyNumberFormat="1" applyFont="1" applyFill="1" applyBorder="1" applyAlignment="1">
      <alignment horizontal="left" vertical="center" indent="1"/>
    </xf>
    <xf numFmtId="164" fontId="15" fillId="0" borderId="0" xfId="2" applyNumberFormat="1" applyFont="1" applyAlignment="1">
      <alignment horizontal="left" vertical="center" indent="1"/>
    </xf>
    <xf numFmtId="0" fontId="28" fillId="20" borderId="0" xfId="2" applyFont="1" applyFill="1" applyAlignment="1">
      <alignment vertical="center"/>
    </xf>
    <xf numFmtId="14" fontId="28" fillId="20" borderId="0" xfId="2" applyNumberFormat="1" applyFont="1" applyFill="1" applyAlignment="1">
      <alignment horizontal="left" vertical="center" shrinkToFit="1"/>
    </xf>
    <xf numFmtId="0" fontId="15" fillId="5" borderId="71" xfId="2" applyFont="1" applyFill="1" applyBorder="1" applyAlignment="1">
      <alignment horizontal="left" vertical="center" indent="1"/>
    </xf>
    <xf numFmtId="164" fontId="15" fillId="5" borderId="51" xfId="2" applyNumberFormat="1" applyFont="1" applyFill="1" applyBorder="1" applyAlignment="1">
      <alignment horizontal="left" vertical="center" indent="1"/>
    </xf>
    <xf numFmtId="0" fontId="15" fillId="5" borderId="72" xfId="2" applyFont="1" applyFill="1" applyBorder="1" applyAlignment="1">
      <alignment horizontal="left" vertical="center" indent="1"/>
    </xf>
    <xf numFmtId="164" fontId="15" fillId="5" borderId="73" xfId="2" applyNumberFormat="1" applyFont="1" applyFill="1" applyBorder="1" applyAlignment="1">
      <alignment horizontal="left" vertical="center" indent="1"/>
    </xf>
    <xf numFmtId="0" fontId="40" fillId="5" borderId="68" xfId="0" applyFont="1" applyFill="1" applyBorder="1" applyAlignment="1">
      <alignment horizontal="left" vertical="center" indent="1"/>
    </xf>
    <xf numFmtId="164" fontId="40" fillId="5" borderId="53" xfId="0" applyNumberFormat="1" applyFont="1" applyFill="1" applyBorder="1" applyAlignment="1">
      <alignment horizontal="left" vertical="center" indent="1"/>
    </xf>
    <xf numFmtId="0" fontId="40" fillId="5" borderId="100" xfId="0" applyFont="1" applyFill="1" applyBorder="1" applyAlignment="1">
      <alignment horizontal="left" vertical="center" indent="1"/>
    </xf>
    <xf numFmtId="164" fontId="40" fillId="5" borderId="74" xfId="0" applyNumberFormat="1" applyFont="1" applyFill="1" applyBorder="1" applyAlignment="1">
      <alignment horizontal="left" vertical="center" indent="1"/>
    </xf>
    <xf numFmtId="0" fontId="12" fillId="5" borderId="71" xfId="0" applyFont="1" applyFill="1" applyBorder="1" applyAlignment="1">
      <alignment vertical="center"/>
    </xf>
    <xf numFmtId="0" fontId="12" fillId="5" borderId="72" xfId="0" applyFont="1" applyFill="1" applyBorder="1" applyAlignment="1">
      <alignment vertical="center"/>
    </xf>
    <xf numFmtId="0" fontId="12" fillId="5" borderId="68" xfId="0" applyFont="1" applyFill="1" applyBorder="1" applyAlignment="1">
      <alignment vertical="center"/>
    </xf>
    <xf numFmtId="0" fontId="12" fillId="0" borderId="0" xfId="2" applyFont="1" applyProtection="1">
      <protection hidden="1"/>
    </xf>
    <xf numFmtId="0" fontId="8" fillId="0" borderId="0" xfId="2" applyFont="1" applyProtection="1">
      <protection hidden="1"/>
    </xf>
    <xf numFmtId="0" fontId="9" fillId="0" borderId="0" xfId="2" applyFont="1" applyAlignment="1" applyProtection="1">
      <alignment vertical="top"/>
      <protection hidden="1"/>
    </xf>
    <xf numFmtId="0" fontId="9" fillId="0" borderId="0" xfId="2" applyFont="1" applyAlignment="1" applyProtection="1">
      <alignment vertical="top" wrapText="1"/>
      <protection hidden="1"/>
    </xf>
    <xf numFmtId="0" fontId="15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0" fillId="0" borderId="35" xfId="0" applyBorder="1" applyAlignment="1">
      <alignment horizontal="center"/>
    </xf>
    <xf numFmtId="0" fontId="23" fillId="0" borderId="0" xfId="0" applyFont="1" applyAlignment="1">
      <alignment horizontal="left" vertical="center" indent="2"/>
    </xf>
    <xf numFmtId="0" fontId="5" fillId="26" borderId="63" xfId="0" applyFont="1" applyFill="1" applyBorder="1" applyAlignment="1" applyProtection="1">
      <alignment horizontal="center" vertical="center"/>
      <protection hidden="1"/>
    </xf>
    <xf numFmtId="0" fontId="47" fillId="27" borderId="101" xfId="0" applyFont="1" applyFill="1" applyBorder="1" applyAlignment="1" applyProtection="1">
      <alignment horizontal="center" vertical="center"/>
      <protection locked="0"/>
    </xf>
    <xf numFmtId="0" fontId="47" fillId="0" borderId="102" xfId="0" applyFont="1" applyBorder="1" applyAlignment="1" applyProtection="1">
      <alignment horizontal="center" vertical="center"/>
      <protection locked="0"/>
    </xf>
    <xf numFmtId="0" fontId="47" fillId="27" borderId="102" xfId="0" applyFont="1" applyFill="1" applyBorder="1" applyAlignment="1" applyProtection="1">
      <alignment horizontal="center" vertical="center"/>
      <protection locked="0"/>
    </xf>
    <xf numFmtId="0" fontId="47" fillId="0" borderId="103" xfId="0" applyFont="1" applyBorder="1" applyAlignment="1" applyProtection="1">
      <alignment horizontal="center" vertical="center"/>
      <protection locked="0"/>
    </xf>
    <xf numFmtId="0" fontId="11" fillId="0" borderId="0" xfId="2" applyFont="1" applyFill="1" applyProtection="1">
      <protection hidden="1"/>
    </xf>
    <xf numFmtId="0" fontId="15" fillId="0" borderId="0" xfId="2" applyFont="1" applyFill="1" applyProtection="1">
      <protection hidden="1"/>
    </xf>
    <xf numFmtId="0" fontId="28" fillId="0" borderId="0" xfId="2" applyFont="1" applyFill="1" applyProtection="1">
      <protection hidden="1"/>
    </xf>
    <xf numFmtId="0" fontId="12" fillId="0" borderId="0" xfId="2" applyFont="1" applyFill="1" applyProtection="1">
      <protection hidden="1"/>
    </xf>
    <xf numFmtId="0" fontId="8" fillId="0" borderId="0" xfId="2" applyFont="1" applyFill="1" applyProtection="1">
      <protection hidden="1"/>
    </xf>
    <xf numFmtId="0" fontId="9" fillId="0" borderId="0" xfId="2" applyFont="1" applyFill="1" applyAlignment="1" applyProtection="1">
      <alignment vertical="top"/>
      <protection hidden="1"/>
    </xf>
    <xf numFmtId="0" fontId="9" fillId="0" borderId="0" xfId="2" applyFont="1" applyFill="1" applyAlignment="1" applyProtection="1">
      <alignment horizontal="justify" vertical="top"/>
      <protection hidden="1"/>
    </xf>
    <xf numFmtId="0" fontId="9" fillId="0" borderId="0" xfId="2" applyFont="1" applyFill="1" applyAlignment="1" applyProtection="1">
      <alignment vertical="top" wrapText="1"/>
      <protection hidden="1"/>
    </xf>
    <xf numFmtId="0" fontId="52" fillId="0" borderId="0" xfId="2" applyFont="1" applyFill="1" applyBorder="1" applyProtection="1">
      <protection hidden="1"/>
    </xf>
    <xf numFmtId="0" fontId="53" fillId="0" borderId="0" xfId="2" applyFont="1" applyFill="1" applyBorder="1" applyAlignment="1" applyProtection="1">
      <alignment horizontal="left"/>
      <protection hidden="1"/>
    </xf>
    <xf numFmtId="0" fontId="54" fillId="0" borderId="0" xfId="2" applyFont="1" applyFill="1" applyBorder="1" applyAlignment="1" applyProtection="1">
      <alignment horizontal="right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2" applyFont="1" applyFill="1" applyBorder="1" applyAlignment="1" applyProtection="1">
      <alignment horizontal="left"/>
      <protection hidden="1"/>
    </xf>
    <xf numFmtId="0" fontId="53" fillId="0" borderId="0" xfId="2" applyFont="1" applyFill="1" applyBorder="1" applyProtection="1">
      <protection hidden="1"/>
    </xf>
    <xf numFmtId="0" fontId="56" fillId="0" borderId="0" xfId="2" applyFont="1" applyFill="1" applyBorder="1" applyAlignment="1" applyProtection="1">
      <alignment horizontal="center"/>
      <protection hidden="1"/>
    </xf>
    <xf numFmtId="0" fontId="58" fillId="0" borderId="0" xfId="2" applyFont="1" applyFill="1" applyBorder="1" applyProtection="1">
      <protection hidden="1"/>
    </xf>
    <xf numFmtId="0" fontId="57" fillId="0" borderId="0" xfId="2" applyFont="1" applyFill="1" applyBorder="1" applyAlignment="1" applyProtection="1">
      <alignment vertical="top"/>
      <protection hidden="1"/>
    </xf>
    <xf numFmtId="0" fontId="56" fillId="0" borderId="0" xfId="2" applyFont="1" applyFill="1" applyBorder="1" applyProtection="1">
      <protection hidden="1"/>
    </xf>
    <xf numFmtId="0" fontId="4" fillId="8" borderId="70" xfId="0" applyFont="1" applyFill="1" applyBorder="1" applyAlignment="1" applyProtection="1">
      <alignment horizontal="left" vertical="center"/>
      <protection locked="0"/>
    </xf>
    <xf numFmtId="0" fontId="4" fillId="8" borderId="53" xfId="0" applyFont="1" applyFill="1" applyBorder="1" applyAlignment="1" applyProtection="1">
      <alignment horizontal="left" vertical="center"/>
      <protection locked="0"/>
    </xf>
    <xf numFmtId="166" fontId="24" fillId="0" borderId="0" xfId="2" applyNumberFormat="1" applyFont="1" applyAlignment="1">
      <alignment horizontal="left" vertical="center"/>
    </xf>
    <xf numFmtId="0" fontId="4" fillId="8" borderId="99" xfId="0" applyFont="1" applyFill="1" applyBorder="1" applyAlignment="1" applyProtection="1">
      <alignment horizontal="left" vertical="center"/>
      <protection locked="0"/>
    </xf>
    <xf numFmtId="0" fontId="4" fillId="8" borderId="51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 applyProtection="1">
      <alignment horizontal="left" vertical="center"/>
      <protection locked="0"/>
    </xf>
    <xf numFmtId="0" fontId="4" fillId="8" borderId="73" xfId="0" applyFont="1" applyFill="1" applyBorder="1" applyAlignment="1" applyProtection="1">
      <alignment horizontal="left" vertical="center"/>
      <protection locked="0"/>
    </xf>
    <xf numFmtId="49" fontId="4" fillId="8" borderId="13" xfId="0" applyNumberFormat="1" applyFont="1" applyFill="1" applyBorder="1" applyAlignment="1" applyProtection="1">
      <alignment horizontal="left" vertical="center"/>
      <protection locked="0"/>
    </xf>
    <xf numFmtId="49" fontId="4" fillId="8" borderId="73" xfId="0" applyNumberFormat="1" applyFont="1" applyFill="1" applyBorder="1" applyAlignment="1" applyProtection="1">
      <alignment horizontal="left" vertical="center"/>
      <protection locked="0"/>
    </xf>
    <xf numFmtId="0" fontId="57" fillId="0" borderId="0" xfId="2" applyFont="1" applyFill="1" applyBorder="1" applyAlignment="1" applyProtection="1">
      <alignment horizontal="left" vertical="center"/>
      <protection hidden="1"/>
    </xf>
    <xf numFmtId="168" fontId="8" fillId="0" borderId="0" xfId="2" applyNumberFormat="1" applyFont="1" applyAlignment="1">
      <alignment horizontal="left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21" xfId="2" applyFont="1" applyBorder="1" applyAlignment="1" applyProtection="1">
      <alignment horizontal="left" vertical="center"/>
      <protection locked="0"/>
    </xf>
    <xf numFmtId="0" fontId="15" fillId="0" borderId="15" xfId="2" applyFont="1" applyBorder="1" applyAlignment="1" applyProtection="1">
      <alignment horizontal="left" vertical="center"/>
      <protection locked="0"/>
    </xf>
    <xf numFmtId="0" fontId="15" fillId="0" borderId="26" xfId="2" applyFont="1" applyBorder="1" applyAlignment="1" applyProtection="1">
      <alignment horizontal="left" vertical="center"/>
      <protection locked="0"/>
    </xf>
    <xf numFmtId="0" fontId="15" fillId="8" borderId="21" xfId="2" applyFont="1" applyFill="1" applyBorder="1" applyAlignment="1" applyProtection="1">
      <alignment vertical="center"/>
      <protection locked="0"/>
    </xf>
    <xf numFmtId="0" fontId="15" fillId="8" borderId="15" xfId="2" applyFont="1" applyFill="1" applyBorder="1" applyAlignment="1" applyProtection="1">
      <alignment vertical="center"/>
      <protection locked="0"/>
    </xf>
    <xf numFmtId="0" fontId="15" fillId="8" borderId="26" xfId="2" applyFont="1" applyFill="1" applyBorder="1" applyAlignment="1" applyProtection="1">
      <alignment vertical="center"/>
      <protection locked="0"/>
    </xf>
    <xf numFmtId="49" fontId="5" fillId="7" borderId="21" xfId="0" applyNumberFormat="1" applyFont="1" applyFill="1" applyBorder="1" applyAlignment="1" applyProtection="1">
      <alignment horizontal="center" vertical="center"/>
      <protection hidden="1"/>
    </xf>
    <xf numFmtId="49" fontId="5" fillId="7" borderId="15" xfId="0" applyNumberFormat="1" applyFont="1" applyFill="1" applyBorder="1" applyAlignment="1" applyProtection="1">
      <alignment horizontal="center" vertical="center"/>
      <protection hidden="1"/>
    </xf>
    <xf numFmtId="49" fontId="5" fillId="7" borderId="60" xfId="0" applyNumberFormat="1" applyFont="1" applyFill="1" applyBorder="1" applyAlignment="1" applyProtection="1">
      <alignment horizontal="center" vertical="center"/>
      <protection hidden="1"/>
    </xf>
    <xf numFmtId="0" fontId="50" fillId="28" borderId="15" xfId="0" applyFont="1" applyFill="1" applyBorder="1" applyAlignment="1" applyProtection="1">
      <alignment horizontal="center" vertical="center"/>
      <protection hidden="1"/>
    </xf>
    <xf numFmtId="0" fontId="50" fillId="28" borderId="60" xfId="0" applyFont="1" applyFill="1" applyBorder="1" applyAlignment="1" applyProtection="1">
      <alignment horizontal="center" vertical="center"/>
      <protection hidden="1"/>
    </xf>
    <xf numFmtId="0" fontId="50" fillId="28" borderId="21" xfId="0" applyFont="1" applyFill="1" applyBorder="1" applyAlignment="1" applyProtection="1">
      <alignment horizontal="center" vertical="center"/>
      <protection hidden="1"/>
    </xf>
    <xf numFmtId="49" fontId="5" fillId="22" borderId="65" xfId="0" applyNumberFormat="1" applyFont="1" applyFill="1" applyBorder="1" applyAlignment="1" applyProtection="1">
      <alignment horizontal="center" vertical="center" wrapText="1"/>
      <protection hidden="1"/>
    </xf>
    <xf numFmtId="49" fontId="5" fillId="22" borderId="66" xfId="0" applyNumberFormat="1" applyFont="1" applyFill="1" applyBorder="1" applyAlignment="1" applyProtection="1">
      <alignment horizontal="center" vertical="center" wrapText="1"/>
      <protection hidden="1"/>
    </xf>
    <xf numFmtId="49" fontId="5" fillId="22" borderId="67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66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67" xfId="0" applyNumberFormat="1" applyFont="1" applyFill="1" applyBorder="1" applyAlignment="1" applyProtection="1">
      <alignment horizontal="center" vertical="center" wrapText="1"/>
      <protection hidden="1"/>
    </xf>
    <xf numFmtId="49" fontId="5" fillId="21" borderId="15" xfId="0" applyNumberFormat="1" applyFont="1" applyFill="1" applyBorder="1" applyAlignment="1" applyProtection="1">
      <alignment horizontal="center" vertical="center"/>
      <protection hidden="1"/>
    </xf>
    <xf numFmtId="49" fontId="5" fillId="23" borderId="65" xfId="0" applyNumberFormat="1" applyFont="1" applyFill="1" applyBorder="1" applyAlignment="1" applyProtection="1">
      <alignment horizontal="center" vertical="center" wrapText="1"/>
      <protection hidden="1"/>
    </xf>
    <xf numFmtId="49" fontId="5" fillId="23" borderId="66" xfId="0" applyNumberFormat="1" applyFont="1" applyFill="1" applyBorder="1" applyAlignment="1" applyProtection="1">
      <alignment horizontal="center" vertical="center" wrapText="1"/>
      <protection hidden="1"/>
    </xf>
    <xf numFmtId="49" fontId="5" fillId="23" borderId="67" xfId="0" applyNumberFormat="1" applyFont="1" applyFill="1" applyBorder="1" applyAlignment="1" applyProtection="1">
      <alignment horizontal="center" vertical="center" wrapText="1"/>
      <protection hidden="1"/>
    </xf>
    <xf numFmtId="49" fontId="48" fillId="0" borderId="57" xfId="0" applyNumberFormat="1" applyFont="1" applyBorder="1" applyAlignment="1" applyProtection="1">
      <alignment horizontal="center"/>
      <protection hidden="1"/>
    </xf>
    <xf numFmtId="49" fontId="48" fillId="0" borderId="0" xfId="0" applyNumberFormat="1" applyFont="1" applyBorder="1" applyAlignment="1" applyProtection="1">
      <alignment horizontal="center"/>
      <protection hidden="1"/>
    </xf>
    <xf numFmtId="49" fontId="48" fillId="0" borderId="55" xfId="0" applyNumberFormat="1" applyFont="1" applyBorder="1" applyAlignment="1" applyProtection="1">
      <alignment horizontal="center"/>
      <protection hidden="1"/>
    </xf>
    <xf numFmtId="0" fontId="51" fillId="8" borderId="75" xfId="0" applyFont="1" applyFill="1" applyBorder="1" applyAlignment="1" applyProtection="1">
      <alignment horizontal="center" vertical="center" textRotation="90"/>
      <protection hidden="1"/>
    </xf>
    <xf numFmtId="0" fontId="51" fillId="8" borderId="76" xfId="0" applyFont="1" applyFill="1" applyBorder="1" applyAlignment="1" applyProtection="1">
      <alignment horizontal="center" vertical="center" textRotation="90"/>
      <protection hidden="1"/>
    </xf>
    <xf numFmtId="0" fontId="47" fillId="5" borderId="57" xfId="0" applyFont="1" applyFill="1" applyBorder="1" applyAlignment="1" applyProtection="1">
      <alignment horizontal="left" indent="1"/>
      <protection hidden="1"/>
    </xf>
    <xf numFmtId="0" fontId="47" fillId="5" borderId="0" xfId="0" applyFont="1" applyFill="1" applyBorder="1" applyAlignment="1" applyProtection="1">
      <alignment horizontal="left" indent="1"/>
      <protection hidden="1"/>
    </xf>
    <xf numFmtId="0" fontId="47" fillId="5" borderId="55" xfId="0" applyFont="1" applyFill="1" applyBorder="1" applyAlignment="1" applyProtection="1">
      <alignment horizontal="left" indent="1"/>
      <protection hidden="1"/>
    </xf>
    <xf numFmtId="0" fontId="47" fillId="5" borderId="57" xfId="0" applyFont="1" applyFill="1" applyBorder="1" applyAlignment="1" applyProtection="1">
      <alignment horizontal="left" vertical="center" indent="1"/>
      <protection hidden="1"/>
    </xf>
    <xf numFmtId="0" fontId="47" fillId="5" borderId="0" xfId="0" applyFont="1" applyFill="1" applyBorder="1" applyAlignment="1" applyProtection="1">
      <alignment horizontal="left" vertical="center" indent="1"/>
      <protection hidden="1"/>
    </xf>
    <xf numFmtId="0" fontId="47" fillId="5" borderId="55" xfId="0" applyFont="1" applyFill="1" applyBorder="1" applyAlignment="1" applyProtection="1">
      <alignment horizontal="left" vertical="center" indent="1"/>
      <protection hidden="1"/>
    </xf>
    <xf numFmtId="0" fontId="40" fillId="5" borderId="57" xfId="0" applyFont="1" applyFill="1" applyBorder="1" applyAlignment="1" applyProtection="1">
      <alignment horizontal="left" vertical="top" wrapText="1" indent="1"/>
      <protection hidden="1"/>
    </xf>
    <xf numFmtId="0" fontId="40" fillId="5" borderId="0" xfId="0" applyFont="1" applyFill="1" applyBorder="1" applyAlignment="1" applyProtection="1">
      <alignment horizontal="left" vertical="top" wrapText="1" indent="1"/>
      <protection hidden="1"/>
    </xf>
    <xf numFmtId="49" fontId="5" fillId="20" borderId="6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8" xfId="0" applyFont="1" applyBorder="1" applyAlignment="1" applyProtection="1">
      <alignment horizontal="center"/>
      <protection hidden="1"/>
    </xf>
    <xf numFmtId="0" fontId="14" fillId="0" borderId="46" xfId="0" applyFont="1" applyBorder="1" applyAlignment="1" applyProtection="1">
      <alignment horizontal="center"/>
      <protection hidden="1"/>
    </xf>
    <xf numFmtId="0" fontId="14" fillId="0" borderId="80" xfId="0" applyFont="1" applyBorder="1" applyAlignment="1" applyProtection="1">
      <alignment horizontal="center"/>
      <protection hidden="1"/>
    </xf>
    <xf numFmtId="0" fontId="5" fillId="0" borderId="98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92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60" xfId="0" applyFont="1" applyBorder="1" applyAlignment="1" applyProtection="1">
      <alignment horizontal="center"/>
      <protection hidden="1"/>
    </xf>
    <xf numFmtId="0" fontId="14" fillId="0" borderId="65" xfId="0" applyFont="1" applyBorder="1" applyAlignment="1" applyProtection="1">
      <alignment horizontal="center"/>
      <protection hidden="1"/>
    </xf>
    <xf numFmtId="0" fontId="14" fillId="0" borderId="66" xfId="0" applyFont="1" applyBorder="1" applyAlignment="1" applyProtection="1">
      <alignment horizontal="center"/>
      <protection hidden="1"/>
    </xf>
    <xf numFmtId="0" fontId="14" fillId="0" borderId="67" xfId="0" applyFont="1" applyBorder="1" applyAlignment="1" applyProtection="1">
      <alignment horizontal="center"/>
      <protection hidden="1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4" xfId="3" xr:uid="{00000000-0005-0000-0000-000003000000}"/>
    <cellStyle name="Stil 1" xfId="4" xr:uid="{00000000-0005-0000-0000-000004000000}"/>
  </cellStyles>
  <dxfs count="125">
    <dxf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€&quot;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1" tint="0.34998626667073579"/>
        </right>
        <top/>
        <bottom style="medium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theme="0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border diagonalUp="0" diagonalDown="0" outline="0">
        <left style="medium">
          <color theme="1" tint="0.34998626667073579"/>
        </left>
        <right style="thin">
          <color theme="0"/>
        </right>
        <top style="medium">
          <color theme="1" tint="0.34998626667073579"/>
        </top>
        <bottom style="medium">
          <color theme="1" tint="0.34998626667073579"/>
        </bottom>
      </border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Down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darkUp">
          <f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rgb="FF0070C0"/>
        </top>
        <bottom style="thin">
          <color rgb="FF0070C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rgb="FF0070C0"/>
        </top>
        <bottom style="thin">
          <color rgb="FF0070C0"/>
        </bottom>
      </border>
      <protection locked="1" hidden="1"/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left style="thick">
          <color theme="0" tint="-0.499984740745262"/>
        </left>
        <right style="thick">
          <color theme="0" tint="-0.499984740745262"/>
        </right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22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22"/>
          <bgColor rgb="FFFFDD7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22"/>
          <bgColor rgb="FFFFDD7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22"/>
          <bgColor rgb="FFFFDD7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 tint="-0.499984740745262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22"/>
          <bgColor rgb="FFFFDD7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 tint="-0.499984740745262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22"/>
          <bgColor rgb="FFFFDD7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 tint="-0.499984740745262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DD7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 tint="-0.499984740745262"/>
        </left>
        <right/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59999389629810485"/>
        </patternFill>
      </fill>
      <alignment horizontal="left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22"/>
          <bgColor rgb="FFFFDD7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EBA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31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31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31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22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top style="thin">
          <color rgb="FF000000"/>
        </top>
      </border>
    </dxf>
    <dxf>
      <fill>
        <patternFill patternType="none"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rgb="FFFFEBA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  <protection locked="1" hidden="0"/>
    </dxf>
    <dxf>
      <font>
        <strike val="0"/>
        <outline val="0"/>
        <shadow val="0"/>
        <vertAlign val="baseline"/>
        <sz val="11"/>
        <name val="Calibri"/>
        <scheme val="minor"/>
      </font>
      <protection locked="1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>
          <fgColor indexed="64"/>
          <bgColor theme="0" tint="-0.14999847407452621"/>
        </patternFill>
      </fill>
      <border>
        <left style="thin">
          <color theme="5" tint="-0.24994659260841701"/>
        </left>
      </border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1" tint="0.34998626667073579"/>
        </left>
      </border>
      <protection locked="1" hidden="0"/>
    </dxf>
    <dxf>
      <font>
        <strike val="0"/>
        <outline val="0"/>
        <shadow val="0"/>
        <vertAlign val="baseline"/>
        <sz val="11"/>
        <name val="Calibri"/>
        <scheme val="minor"/>
      </font>
      <protection locked="1" hidden="0"/>
    </dxf>
    <dxf>
      <font>
        <strike val="0"/>
        <outline val="0"/>
        <shadow val="0"/>
        <vertAlign val="baseline"/>
        <sz val="11"/>
        <name val="Calibri"/>
        <scheme val="minor"/>
      </font>
      <protection locked="1" hidden="0"/>
    </dxf>
    <dxf>
      <border>
        <bottom style="thin">
          <color theme="5" tint="-0.24994659260841701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theme="5" tint="-0.24994659260841701"/>
        </left>
        <right style="thin">
          <color theme="5" tint="-0.2499465926084170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DD71"/>
      <color rgb="FF4A8BC6"/>
      <color rgb="FF4081D0"/>
      <color rgb="FF007FDE"/>
      <color rgb="FFFFE697"/>
      <color rgb="FFD5FBA3"/>
      <color rgb="FFFFEBAB"/>
      <color rgb="FFB6FF9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1</xdr:row>
      <xdr:rowOff>278130</xdr:rowOff>
    </xdr:from>
    <xdr:to>
      <xdr:col>4</xdr:col>
      <xdr:colOff>657129</xdr:colOff>
      <xdr:row>5</xdr:row>
      <xdr:rowOff>10015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5" y="706755"/>
          <a:ext cx="1047654" cy="1246360"/>
        </a:xfrm>
        <a:prstGeom prst="rect">
          <a:avLst/>
        </a:prstGeom>
      </xdr:spPr>
    </xdr:pic>
    <xdr:clientData/>
  </xdr:twoCellAnchor>
  <xdr:twoCellAnchor editAs="oneCell">
    <xdr:from>
      <xdr:col>4</xdr:col>
      <xdr:colOff>634366</xdr:colOff>
      <xdr:row>1</xdr:row>
      <xdr:rowOff>304799</xdr:rowOff>
    </xdr:from>
    <xdr:to>
      <xdr:col>5</xdr:col>
      <xdr:colOff>828676</xdr:colOff>
      <xdr:row>5</xdr:row>
      <xdr:rowOff>16192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4863466" y="733424"/>
          <a:ext cx="908685" cy="122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516461</xdr:colOff>
      <xdr:row>31</xdr:row>
      <xdr:rowOff>176743</xdr:rowOff>
    </xdr:from>
    <xdr:to>
      <xdr:col>5</xdr:col>
      <xdr:colOff>826289</xdr:colOff>
      <xdr:row>36</xdr:row>
      <xdr:rowOff>142876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071E242-8582-481F-A078-EB8A9C127949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3"/>
        <a:srcRect l="7766" r="7454"/>
        <a:stretch/>
      </xdr:blipFill>
      <xdr:spPr>
        <a:xfrm>
          <a:off x="4745561" y="8634943"/>
          <a:ext cx="1024203" cy="956733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857253</xdr:colOff>
      <xdr:row>31</xdr:row>
      <xdr:rowOff>178597</xdr:rowOff>
    </xdr:from>
    <xdr:to>
      <xdr:col>4</xdr:col>
      <xdr:colOff>309562</xdr:colOff>
      <xdr:row>36</xdr:row>
      <xdr:rowOff>107156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0BD39E9-B104-4967-8F38-3EE872FC9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3" y="8655847"/>
          <a:ext cx="928684" cy="928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1377316</xdr:colOff>
      <xdr:row>1</xdr:row>
      <xdr:rowOff>106680</xdr:rowOff>
    </xdr:from>
    <xdr:to>
      <xdr:col>4</xdr:col>
      <xdr:colOff>540858</xdr:colOff>
      <xdr:row>4</xdr:row>
      <xdr:rowOff>15240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6" y="533400"/>
          <a:ext cx="908522" cy="1066800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552451</xdr:colOff>
      <xdr:row>1</xdr:row>
      <xdr:rowOff>91440</xdr:rowOff>
    </xdr:from>
    <xdr:to>
      <xdr:col>5</xdr:col>
      <xdr:colOff>697049</xdr:colOff>
      <xdr:row>4</xdr:row>
      <xdr:rowOff>2858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5292091" y="518160"/>
          <a:ext cx="792298" cy="1065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248541</xdr:colOff>
      <xdr:row>30</xdr:row>
      <xdr:rowOff>144781</xdr:rowOff>
    </xdr:from>
    <xdr:to>
      <xdr:col>5</xdr:col>
      <xdr:colOff>784860</xdr:colOff>
      <xdr:row>36</xdr:row>
      <xdr:rowOff>85736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D0CDE4B-747E-438B-8C85-B1C24E6FB86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3"/>
        <a:srcRect l="7766" r="7454"/>
        <a:stretch/>
      </xdr:blipFill>
      <xdr:spPr>
        <a:xfrm>
          <a:off x="4988181" y="8054341"/>
          <a:ext cx="1184019" cy="992515"/>
        </a:xfrm>
        <a:prstGeom prst="rect">
          <a:avLst/>
        </a:prstGeom>
      </xdr:spPr>
    </xdr:pic>
    <xdr:clientData/>
  </xdr:twoCellAnchor>
  <xdr:twoCellAnchor editAs="oneCell">
    <xdr:from>
      <xdr:col>2</xdr:col>
      <xdr:colOff>978156</xdr:colOff>
      <xdr:row>30</xdr:row>
      <xdr:rowOff>110491</xdr:rowOff>
    </xdr:from>
    <xdr:to>
      <xdr:col>4</xdr:col>
      <xdr:colOff>182815</xdr:colOff>
      <xdr:row>36</xdr:row>
      <xdr:rowOff>58100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26A7F84-17D2-43EC-A6DD-D0677B979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481" y="8016241"/>
          <a:ext cx="928684" cy="919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1190625</xdr:colOff>
      <xdr:row>0</xdr:row>
      <xdr:rowOff>9525</xdr:rowOff>
    </xdr:from>
    <xdr:to>
      <xdr:col>5</xdr:col>
      <xdr:colOff>1981200</xdr:colOff>
      <xdr:row>2</xdr:row>
      <xdr:rowOff>169139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9525"/>
          <a:ext cx="790575" cy="912089"/>
        </a:xfrm>
        <a:prstGeom prst="rect">
          <a:avLst/>
        </a:prstGeom>
      </xdr:spPr>
    </xdr:pic>
    <xdr:clientData/>
  </xdr:twoCellAnchor>
  <xdr:twoCellAnchor editAs="oneCell">
    <xdr:from>
      <xdr:col>5</xdr:col>
      <xdr:colOff>1990726</xdr:colOff>
      <xdr:row>0</xdr:row>
      <xdr:rowOff>28576</xdr:rowOff>
    </xdr:from>
    <xdr:to>
      <xdr:col>5</xdr:col>
      <xdr:colOff>2604452</xdr:colOff>
      <xdr:row>2</xdr:row>
      <xdr:rowOff>152401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6896101" y="28576"/>
          <a:ext cx="613726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1196341</xdr:colOff>
      <xdr:row>0</xdr:row>
      <xdr:rowOff>36194</xdr:rowOff>
    </xdr:from>
    <xdr:to>
      <xdr:col>5</xdr:col>
      <xdr:colOff>1948849</xdr:colOff>
      <xdr:row>2</xdr:row>
      <xdr:rowOff>161924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1716" y="36194"/>
          <a:ext cx="752508" cy="878205"/>
        </a:xfrm>
        <a:prstGeom prst="rect">
          <a:avLst/>
        </a:prstGeom>
      </xdr:spPr>
    </xdr:pic>
    <xdr:clientData/>
  </xdr:twoCellAnchor>
  <xdr:twoCellAnchor editAs="oneCell">
    <xdr:from>
      <xdr:col>5</xdr:col>
      <xdr:colOff>1981200</xdr:colOff>
      <xdr:row>0</xdr:row>
      <xdr:rowOff>47626</xdr:rowOff>
    </xdr:from>
    <xdr:to>
      <xdr:col>5</xdr:col>
      <xdr:colOff>2581275</xdr:colOff>
      <xdr:row>2</xdr:row>
      <xdr:rowOff>151959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6886575" y="47626"/>
          <a:ext cx="600075" cy="856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655320</xdr:colOff>
      <xdr:row>0</xdr:row>
      <xdr:rowOff>28575</xdr:rowOff>
    </xdr:from>
    <xdr:to>
      <xdr:col>6</xdr:col>
      <xdr:colOff>1403869</xdr:colOff>
      <xdr:row>2</xdr:row>
      <xdr:rowOff>161925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5020" y="28575"/>
          <a:ext cx="748549" cy="885825"/>
        </a:xfrm>
        <a:prstGeom prst="rect">
          <a:avLst/>
        </a:prstGeom>
      </xdr:spPr>
    </xdr:pic>
    <xdr:clientData/>
  </xdr:twoCellAnchor>
  <xdr:twoCellAnchor editAs="oneCell">
    <xdr:from>
      <xdr:col>6</xdr:col>
      <xdr:colOff>1419226</xdr:colOff>
      <xdr:row>0</xdr:row>
      <xdr:rowOff>38101</xdr:rowOff>
    </xdr:from>
    <xdr:to>
      <xdr:col>6</xdr:col>
      <xdr:colOff>2032952</xdr:colOff>
      <xdr:row>2</xdr:row>
      <xdr:rowOff>161925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6638926" y="38101"/>
          <a:ext cx="613726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424815</xdr:colOff>
      <xdr:row>0</xdr:row>
      <xdr:rowOff>89535</xdr:rowOff>
    </xdr:from>
    <xdr:to>
      <xdr:col>7</xdr:col>
      <xdr:colOff>71327</xdr:colOff>
      <xdr:row>3</xdr:row>
      <xdr:rowOff>216121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365" y="89535"/>
          <a:ext cx="846662" cy="106956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76200</xdr:rowOff>
    </xdr:from>
    <xdr:to>
      <xdr:col>8</xdr:col>
      <xdr:colOff>295276</xdr:colOff>
      <xdr:row>3</xdr:row>
      <xdr:rowOff>221236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5648326" y="76200"/>
          <a:ext cx="762000" cy="1088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1215390</xdr:colOff>
      <xdr:row>0</xdr:row>
      <xdr:rowOff>38100</xdr:rowOff>
    </xdr:from>
    <xdr:to>
      <xdr:col>10</xdr:col>
      <xdr:colOff>480902</xdr:colOff>
      <xdr:row>2</xdr:row>
      <xdr:rowOff>142227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8165" y="38100"/>
          <a:ext cx="646637" cy="856602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0</xdr:row>
      <xdr:rowOff>28575</xdr:rowOff>
    </xdr:from>
    <xdr:to>
      <xdr:col>9</xdr:col>
      <xdr:colOff>1182372</xdr:colOff>
      <xdr:row>2</xdr:row>
      <xdr:rowOff>161925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7524750" y="28575"/>
          <a:ext cx="62039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</xdr:colOff>
      <xdr:row>19</xdr:row>
      <xdr:rowOff>31750</xdr:rowOff>
    </xdr:from>
    <xdr:to>
      <xdr:col>11</xdr:col>
      <xdr:colOff>105737</xdr:colOff>
      <xdr:row>25</xdr:row>
      <xdr:rowOff>124527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C93EB4-96C8-469E-87AF-431014C8D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0" y="5397500"/>
          <a:ext cx="1047654" cy="1246360"/>
        </a:xfrm>
        <a:prstGeom prst="rect">
          <a:avLst/>
        </a:prstGeom>
      </xdr:spPr>
    </xdr:pic>
    <xdr:clientData/>
  </xdr:twoCellAnchor>
  <xdr:twoCellAnchor editAs="oneCell">
    <xdr:from>
      <xdr:col>12</xdr:col>
      <xdr:colOff>220558</xdr:colOff>
      <xdr:row>19</xdr:row>
      <xdr:rowOff>58419</xdr:rowOff>
    </xdr:from>
    <xdr:to>
      <xdr:col>15</xdr:col>
      <xdr:colOff>224368</xdr:colOff>
      <xdr:row>25</xdr:row>
      <xdr:rowOff>130704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8F35C6-440E-42CF-BC7D-9A8E2B8718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2"/>
        <a:stretch/>
      </xdr:blipFill>
      <xdr:spPr bwMode="auto">
        <a:xfrm>
          <a:off x="5607475" y="5424169"/>
          <a:ext cx="956310" cy="122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eilnehmer" displayName="Teilnehmer" ref="A1:R52" totalsRowCount="1" headerRowDxfId="124" dataDxfId="122" totalsRowDxfId="121" headerRowBorderDxfId="123">
  <autoFilter ref="A1:R5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sortState xmlns:xlrd2="http://schemas.microsoft.com/office/spreadsheetml/2017/richdata2" ref="A2:R51">
    <sortCondition ref="A1:A51"/>
  </sortState>
  <tableColumns count="18">
    <tableColumn id="1" xr3:uid="{00000000-0010-0000-0000-000001000000}" name="LfNr" totalsRowLabel="Ergebnis" dataDxfId="120" totalsRowDxfId="13">
      <calculatedColumnFormula>$U$2&amp;2</calculatedColumnFormula>
    </tableColumn>
    <tableColumn id="2" xr3:uid="{00000000-0010-0000-0000-000002000000}" name="Name" dataDxfId="119" totalsRowDxfId="12"/>
    <tableColumn id="3" xr3:uid="{00000000-0010-0000-0000-000003000000}" name="Vorname" dataDxfId="118" totalsRowDxfId="11"/>
    <tableColumn id="4" xr3:uid="{00000000-0010-0000-0000-000004000000}" name="Geb. datum" totalsRowDxfId="10"/>
    <tableColumn id="5" xr3:uid="{00000000-0010-0000-0000-000005000000}" name="Alter am Wettkampftag" totalsRowFunction="countNums" dataDxfId="117" totalsRowDxfId="9">
      <calculatedColumnFormula>IF( D2&gt;1940,DATEDIF(D2,V$1,"y")," ")</calculatedColumnFormula>
    </tableColumn>
    <tableColumn id="6" xr3:uid="{00000000-0010-0000-0000-000006000000}" name="Geschlecht" totalsRowDxfId="8"/>
    <tableColumn id="9" xr3:uid="{00000000-0010-0000-0000-000009000000}" name="Einzelkür" totalsRowDxfId="7"/>
    <tableColumn id="22" xr3:uid="{00000000-0010-0000-0000-000016000000}" name="Ek-Kürname" dataDxfId="116" totalsRowDxfId="6"/>
    <tableColumn id="10" xr3:uid="{00000000-0010-0000-0000-00000A000000}" name="Paarkür" totalsRowDxfId="5"/>
    <tableColumn id="24" xr3:uid="{00000000-0010-0000-0000-000018000000}" name="Pk-Kürname" dataDxfId="115" totalsRowDxfId="4"/>
    <tableColumn id="12" xr3:uid="{00000000-0010-0000-0000-00000C000000}" name="Kleingruppe" totalsRowDxfId="3"/>
    <tableColumn id="13" xr3:uid="{00000000-0010-0000-0000-00000D000000}" name="Großgruppe" totalsRowDxfId="2"/>
    <tableColumn id="15" xr3:uid="{00000000-0010-0000-0000-00000F000000}" name="Startgebühr" totalsRowFunction="custom" totalsRowDxfId="1">
      <calculatedColumnFormula>IFERROR(IF(B2="","",IF(Teilnehmer[[#This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calculatedColumnFormula>
      <totalsRowFormula>SUM(Teilnehmer[Startgebühr])</totalsRowFormula>
    </tableColumn>
    <tableColumn id="14" xr3:uid="{00000000-0010-0000-0000-00000E000000}" name="Spalte1" dataDxfId="114" totalsRowDxfId="0"/>
    <tableColumn id="17" xr3:uid="{00000000-0010-0000-0000-000011000000}" name="12 €" totalsRowFunction="sum" dataDxfId="113">
      <calculatedColumnFormula>COUNTIF(Teilnehmer[[#This Row],[Einzelkür]:[Ek-Kürname]],"ja")</calculatedColumnFormula>
    </tableColumn>
    <tableColumn id="18" xr3:uid="{00000000-0010-0000-0000-000012000000}" name="10 €" totalsRowFunction="sum" dataDxfId="112">
      <calculatedColumnFormula>COUNTIF(Teilnehmer[[#This Row],[Paarkür]:[Pk-Kürname]],"&lt;&gt;")</calculatedColumnFormula>
    </tableColumn>
    <tableColumn id="8" xr3:uid="{250342F7-5D38-41FC-8BB7-348386B50B9F}" name="8 €" totalsRowFunction="sum" dataDxfId="111">
      <calculatedColumnFormula>COUNTIF(Teilnehmer[[#This Row],[Kleingruppe]],"&lt;&gt;")</calculatedColumnFormula>
    </tableColumn>
    <tableColumn id="7" xr3:uid="{9795721A-7310-475D-AD50-C441A510E762}" name="8 €_" totalsRowFunction="sum" dataDxfId="110">
      <calculatedColumnFormula>COUNTIF(Teilnehmer[[#This Row],[Großgruppe]],"&lt;&gt;")</calculatedColumnFormula>
    </tableColumn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D000000}" name="Tabelle5" displayName="Tabelle5" ref="M6:Q30" totalsRowShown="0" headerRowDxfId="35" dataDxfId="34" tableBorderDxfId="33">
  <autoFilter ref="M6:Q3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D00-000001000000}" name="Fahrer" dataDxfId="32" dataCellStyle="Standard 2">
      <calculatedColumnFormula>M6+1</calculatedColumnFormula>
    </tableColumn>
    <tableColumn id="2" xr3:uid="{00000000-0010-0000-0D00-000002000000}" name="lf.Nr." dataDxfId="31">
      <calculatedColumnFormula>IFERROR(INDEX(Teilnehmer[LfNr],_xlfn.AGGREGATE(15,6,ROW(Teilnehmer[LfNr])/((Teilnehmer[Großgruppe]=$Q$4)),ROW()-6)-1,1),"")</calculatedColumnFormula>
    </tableColumn>
    <tableColumn id="3" xr3:uid="{00000000-0010-0000-0D00-000003000000}" name="Name" dataDxfId="30" dataCellStyle="Standard 2">
      <calculatedColumnFormula>IFERROR(VLOOKUP(N7,Teilnehmer[],2,FALSE),"")</calculatedColumnFormula>
    </tableColumn>
    <tableColumn id="4" xr3:uid="{00000000-0010-0000-0D00-000004000000}" name="Vorname" dataDxfId="29" dataCellStyle="Standard 2">
      <calculatedColumnFormula>IFERROR(VLOOKUP(N7,Teilnehmer[],3,FALSE),"")</calculatedColumnFormula>
    </tableColumn>
    <tableColumn id="5" xr3:uid="{00000000-0010-0000-0D00-000005000000}" name="Alter" dataDxfId="28" dataCellStyle="Standard 2">
      <calculatedColumnFormula>IFERROR(VLOOKUP(N7,Teilnehmer[],5,FALSE),"")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FD29F4-81FC-4863-BFF5-F4E3D1EF757B}" name="Tabelle15" displayName="Tabelle15" ref="B6:C16" totalsRowShown="0" headerRowDxfId="27" dataDxfId="25" headerRowBorderDxfId="26" tableBorderDxfId="24">
  <tableColumns count="2">
    <tableColumn id="3" xr3:uid="{EA9E296C-6546-4C60-9909-2F78B2F7ACC9}" name="#" dataDxfId="23"/>
    <tableColumn id="1" xr3:uid="{262418F9-1117-4B53-98A9-1ACE40507D10}" name="Namen der Juroren:" dataDxfId="2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e18" displayName="Tabelle18" ref="A4:F35" totalsRowShown="0" headerRowDxfId="109" dataDxfId="107" headerRowBorderDxfId="108" tableBorderDxfId="106" headerRowCellStyle="Standard 2">
  <autoFilter ref="A4:F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5:F5">
    <sortCondition ref="D4:D5"/>
  </sortState>
  <tableColumns count="6">
    <tableColumn id="8" xr3:uid="{00000000-0010-0000-0500-000008000000}" name="Kür Nr." dataDxfId="105" dataCellStyle="Standard 2"/>
    <tableColumn id="2" xr3:uid="{00000000-0010-0000-0500-000002000000}" name="lf.Nr. Anmeldung" dataDxfId="104" dataCellStyle="Standard 2">
      <calculatedColumnFormula>IFERROR(INDEX(Teilnehmer[LfNr],_xlfn.AGGREGATE(15,6,ROW(Teilnehmer[LfNr])/((Teilnehmer[Geschlecht]=$G$2)*(Teilnehmer[Einzelkür]="ja")),ROW()-4)-1,1),"")</calculatedColumnFormula>
    </tableColumn>
    <tableColumn id="3" xr3:uid="{00000000-0010-0000-0500-000003000000}" name="Name" dataDxfId="103" dataCellStyle="Standard 2">
      <calculatedColumnFormula>IFERROR(VLOOKUP($B5,Teilnehmer[],2,FALSE),"")</calculatedColumnFormula>
    </tableColumn>
    <tableColumn id="4" xr3:uid="{00000000-0010-0000-0500-000004000000}" name="Vorname" dataDxfId="102" dataCellStyle="Standard 2">
      <calculatedColumnFormula>IFERROR(VLOOKUP($B5,Teilnehmer[],3,FALSE),"")</calculatedColumnFormula>
    </tableColumn>
    <tableColumn id="6" xr3:uid="{00000000-0010-0000-0500-000006000000}" name="Alter" dataDxfId="101" dataCellStyle="Standard 2">
      <calculatedColumnFormula>IFERROR(VLOOKUP($B5,Teilnehmer[],5,FALSE),"")</calculatedColumnFormula>
    </tableColumn>
    <tableColumn id="7" xr3:uid="{00000000-0010-0000-0500-000007000000}" name="Kürname" dataDxfId="100" dataCellStyle="Standard 2">
      <calculatedColumnFormula>IFERROR(VLOOKUP($B5,Teilnehmer[],8,FALSE),"")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elle183" displayName="Tabelle183" ref="A4:F14" totalsRowShown="0" headerRowDxfId="99" dataDxfId="97" headerRowBorderDxfId="98" tableBorderDxfId="96" headerRowCellStyle="Standard 2">
  <autoFilter ref="A4:F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5:F14">
    <sortCondition ref="D4:D14"/>
  </sortState>
  <tableColumns count="6">
    <tableColumn id="8" xr3:uid="{00000000-0010-0000-0600-000008000000}" name="Kür Nr." dataDxfId="95" dataCellStyle="Standard 2"/>
    <tableColumn id="2" xr3:uid="{00000000-0010-0000-0600-000002000000}" name="lf.Nr. Anmeldung" dataDxfId="94" dataCellStyle="Standard 2">
      <calculatedColumnFormula>IFERROR(INDEX(Teilnehmer[LfNr],_xlfn.AGGREGATE(15,6,ROW(Teilnehmer[LfNr])/((Teilnehmer[Geschlecht]=$G$2)*(Teilnehmer[Einzelkür]="ja")),ROW()-4)-1,1),"")</calculatedColumnFormula>
    </tableColumn>
    <tableColumn id="3" xr3:uid="{00000000-0010-0000-0600-000003000000}" name="Name" dataDxfId="93" dataCellStyle="Standard 2">
      <calculatedColumnFormula>IFERROR(VLOOKUP($B5,Teilnehmer[],2,FALSE),"")</calculatedColumnFormula>
    </tableColumn>
    <tableColumn id="4" xr3:uid="{00000000-0010-0000-0600-000004000000}" name="Vorname" dataDxfId="92" dataCellStyle="Standard 2">
      <calculatedColumnFormula>IFERROR(VLOOKUP($B5,Teilnehmer[],3,FALSE),"")</calculatedColumnFormula>
    </tableColumn>
    <tableColumn id="6" xr3:uid="{00000000-0010-0000-0600-000006000000}" name="Alter" dataDxfId="91" dataCellStyle="Standard 2">
      <calculatedColumnFormula>IFERROR(VLOOKUP($B5,Teilnehmer[],5,FALSE),"")</calculatedColumnFormula>
    </tableColumn>
    <tableColumn id="7" xr3:uid="{00000000-0010-0000-0600-000007000000}" name="Kürname" dataDxfId="90" dataCellStyle="Standard 2">
      <calculatedColumnFormula>IFERROR(VLOOKUP($B5,Teilnehmer[],8,FALSE),"")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abelle182" displayName="Tabelle182" ref="A6:E16" totalsRowShown="0" headerRowDxfId="89" dataDxfId="87" headerRowBorderDxfId="88" tableBorderDxfId="86" headerRowCellStyle="Standard 2">
  <autoFilter ref="A6:E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7:E16">
    <sortCondition ref="D6:D16"/>
  </sortState>
  <tableColumns count="5">
    <tableColumn id="8" xr3:uid="{00000000-0010-0000-0700-000008000000}" name="Fahrer" dataDxfId="85" dataCellStyle="Standard 2"/>
    <tableColumn id="2" xr3:uid="{00000000-0010-0000-0700-000002000000}" name="lf.Nr." dataDxfId="84" dataCellStyle="Standard 2">
      <calculatedColumnFormula>IFERROR(INDEX(Teilnehmer[LfNr],_xlfn.AGGREGATE(15,6,ROW(Teilnehmer[LfNr])/((Teilnehmer[Kleingruppe]=$E$4)),ROW()-6)-1,1),"")</calculatedColumnFormula>
    </tableColumn>
    <tableColumn id="3" xr3:uid="{00000000-0010-0000-0700-000003000000}" name="Name" dataDxfId="83" dataCellStyle="Standard 2">
      <calculatedColumnFormula>IFERROR(VLOOKUP(B7,Teilnehmer[],2,FALSE),"")</calculatedColumnFormula>
    </tableColumn>
    <tableColumn id="4" xr3:uid="{00000000-0010-0000-0700-000004000000}" name="Vorname" dataDxfId="82" dataCellStyle="Standard 2">
      <calculatedColumnFormula>IFERROR(VLOOKUP(B7,Teilnehmer[],3,FALSE),"")</calculatedColumnFormula>
    </tableColumn>
    <tableColumn id="6" xr3:uid="{00000000-0010-0000-0700-000006000000}" name="Alter" dataDxfId="81" dataCellStyle="Standard 2">
      <calculatedColumnFormula>IFERROR(VLOOKUP(B7,Teilnehmer[],5,FALSE),"")</calculatedColumnFormula>
    </tableColumn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le18211" displayName="Tabelle18211" ref="A20:E30" totalsRowShown="0" headerRowDxfId="80" dataDxfId="78" headerRowBorderDxfId="79" tableBorderDxfId="77" headerRowCellStyle="Standard 2">
  <autoFilter ref="A20:E30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21:E30">
    <sortCondition ref="D20:D30"/>
  </sortState>
  <tableColumns count="5">
    <tableColumn id="8" xr3:uid="{00000000-0010-0000-0800-000008000000}" name="Fahrer" dataDxfId="76" dataCellStyle="Standard 2"/>
    <tableColumn id="2" xr3:uid="{00000000-0010-0000-0800-000002000000}" name="lf.Nr." dataDxfId="75" dataCellStyle="Standard 2">
      <calculatedColumnFormula>IFERROR(INDEX(Teilnehmer[LfNr],_xlfn.AGGREGATE(15,6,ROW(Teilnehmer[LfNr])/((Teilnehmer[Kleingruppe]=$E$18)),ROW()-20)-1,1),"")</calculatedColumnFormula>
    </tableColumn>
    <tableColumn id="3" xr3:uid="{00000000-0010-0000-0800-000003000000}" name="Name" dataDxfId="74" dataCellStyle="Standard 2">
      <calculatedColumnFormula>IFERROR(VLOOKUP(B21,Teilnehmer[],2,FALSE),"")</calculatedColumnFormula>
    </tableColumn>
    <tableColumn id="4" xr3:uid="{00000000-0010-0000-0800-000004000000}" name="Vorname" dataDxfId="73" dataCellStyle="Standard 2">
      <calculatedColumnFormula>IFERROR(VLOOKUP(B21,Teilnehmer[],3,FALSE),"")</calculatedColumnFormula>
    </tableColumn>
    <tableColumn id="6" xr3:uid="{00000000-0010-0000-0800-000006000000}" name="Alter" dataDxfId="72" dataCellStyle="Standard 2">
      <calculatedColumnFormula>IFERROR(VLOOKUP(B21,Teilnehmer[],5,FALSE),"")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le18212" displayName="Tabelle18212" ref="A34:E44" totalsRowShown="0" headerRowDxfId="71" dataDxfId="69" headerRowBorderDxfId="70" tableBorderDxfId="68" headerRowCellStyle="Standard 2">
  <autoFilter ref="A34:E44" xr:uid="{00000000-0009-0000-0100-00000B000000}"/>
  <sortState xmlns:xlrd2="http://schemas.microsoft.com/office/spreadsheetml/2017/richdata2" ref="A35:E44">
    <sortCondition ref="D20:D30"/>
  </sortState>
  <tableColumns count="5">
    <tableColumn id="8" xr3:uid="{00000000-0010-0000-0900-000008000000}" name="Fahrer" dataDxfId="67" dataCellStyle="Standard 2"/>
    <tableColumn id="2" xr3:uid="{00000000-0010-0000-0900-000002000000}" name="lf.Nr." dataDxfId="66" dataCellStyle="Standard 2">
      <calculatedColumnFormula>IFERROR(INDEX(Teilnehmer[LfNr],_xlfn.AGGREGATE(15,6,ROW(Teilnehmer[LfNr])/((Teilnehmer[Kleingruppe]=$E$32)),ROW()-34)-1,1),"")</calculatedColumnFormula>
    </tableColumn>
    <tableColumn id="3" xr3:uid="{00000000-0010-0000-0900-000003000000}" name="Name" dataDxfId="65" dataCellStyle="Standard 2">
      <calculatedColumnFormula>IFERROR(VLOOKUP(B35,Teilnehmer[],2,FALSE),"")</calculatedColumnFormula>
    </tableColumn>
    <tableColumn id="4" xr3:uid="{00000000-0010-0000-0900-000004000000}" name="Vorname" dataDxfId="64" dataCellStyle="Standard 2">
      <calculatedColumnFormula>IFERROR(VLOOKUP(B35,Teilnehmer[],3,FALSE),"")</calculatedColumnFormula>
    </tableColumn>
    <tableColumn id="6" xr3:uid="{00000000-0010-0000-0900-000006000000}" name="Alter" dataDxfId="63" dataCellStyle="Standard 2">
      <calculatedColumnFormula>IFERROR(VLOOKUP(B35,Teilnehmer[],5,FALSE),"")</calculatedColumnFormula>
    </tableColumn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le1821113" displayName="Tabelle1821113" ref="A48:E58" totalsRowShown="0" headerRowDxfId="62" dataDxfId="60" headerRowBorderDxfId="61" tableBorderDxfId="59" headerRowCellStyle="Standard 2">
  <autoFilter ref="A48:E58" xr:uid="{00000000-0009-0000-0100-00000C000000}"/>
  <sortState xmlns:xlrd2="http://schemas.microsoft.com/office/spreadsheetml/2017/richdata2" ref="A49:E58">
    <sortCondition ref="D34:D44"/>
  </sortState>
  <tableColumns count="5">
    <tableColumn id="8" xr3:uid="{00000000-0010-0000-0A00-000008000000}" name="Fahrer" dataDxfId="58" dataCellStyle="Standard 2"/>
    <tableColumn id="2" xr3:uid="{00000000-0010-0000-0A00-000002000000}" name="lf.Nr." dataDxfId="57" dataCellStyle="Standard 2">
      <calculatedColumnFormula>IFERROR(INDEX(Teilnehmer[LfNr],_xlfn.AGGREGATE(15,6,ROW(Teilnehmer[LfNr])/((Teilnehmer[Kleingruppe]=$E$46)),ROW()-48)-1,1),"")</calculatedColumnFormula>
    </tableColumn>
    <tableColumn id="3" xr3:uid="{00000000-0010-0000-0A00-000003000000}" name="Name" dataDxfId="56" dataCellStyle="Standard 2">
      <calculatedColumnFormula>IFERROR(VLOOKUP(B49,Teilnehmer[],2,FALSE),"")</calculatedColumnFormula>
    </tableColumn>
    <tableColumn id="4" xr3:uid="{00000000-0010-0000-0A00-000004000000}" name="Vorname" dataDxfId="55" dataCellStyle="Standard 2">
      <calculatedColumnFormula>IFERROR(VLOOKUP(B49,Teilnehmer[],3,FALSE),"")</calculatedColumnFormula>
    </tableColumn>
    <tableColumn id="6" xr3:uid="{00000000-0010-0000-0A00-000006000000}" name="Alter" dataDxfId="54" dataCellStyle="Standard 2">
      <calculatedColumnFormula>IFERROR(VLOOKUP(B49,Teilnehmer[],5,FALSE),"")</calculatedColumnFormula>
    </tableColumn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elle18214" displayName="Tabelle18214" ref="A6:E30" totalsRowShown="0" headerRowDxfId="53" dataDxfId="51" headerRowBorderDxfId="52" tableBorderDxfId="50" headerRowCellStyle="Standard 2">
  <autoFilter ref="A6:E3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7:E16">
    <sortCondition ref="D6:D16"/>
  </sortState>
  <tableColumns count="5">
    <tableColumn id="8" xr3:uid="{00000000-0010-0000-0B00-000008000000}" name="Fahrer" dataDxfId="49" dataCellStyle="Standard 2"/>
    <tableColumn id="2" xr3:uid="{00000000-0010-0000-0B00-000002000000}" name="lf.Nr." dataDxfId="48" dataCellStyle="Standard 2">
      <calculatedColumnFormula>IFERROR(INDEX(Teilnehmer[LfNr],_xlfn.AGGREGATE(15,6,ROW(Teilnehmer[LfNr])/((Teilnehmer[Großgruppe]=$E$4)),ROW()-6)-1,1),"")</calculatedColumnFormula>
    </tableColumn>
    <tableColumn id="3" xr3:uid="{00000000-0010-0000-0B00-000003000000}" name="Name" dataDxfId="47" dataCellStyle="Standard 2">
      <calculatedColumnFormula>IFERROR(VLOOKUP(B7,Teilnehmer[],2,FALSE),"")</calculatedColumnFormula>
    </tableColumn>
    <tableColumn id="4" xr3:uid="{00000000-0010-0000-0B00-000004000000}" name="Vorname" dataDxfId="46" dataCellStyle="Standard 2">
      <calculatedColumnFormula>IFERROR(VLOOKUP(B7,Teilnehmer[],3,FALSE),"")</calculatedColumnFormula>
    </tableColumn>
    <tableColumn id="6" xr3:uid="{00000000-0010-0000-0B00-000006000000}" name="Alter" dataDxfId="45" dataCellStyle="Standard 2">
      <calculatedColumnFormula>IFERROR(VLOOKUP(B7,Teilnehmer[],5,FALSE),"")</calculatedColumnFormula>
    </tableColumn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elle1821115" displayName="Tabelle1821115" ref="G6:K30" totalsRowShown="0" headerRowDxfId="44" dataDxfId="42" headerRowBorderDxfId="43" tableBorderDxfId="41" headerRowCellStyle="Standard 2">
  <autoFilter ref="G6:K30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G7:K16">
    <sortCondition ref="J6:J16"/>
  </sortState>
  <tableColumns count="5">
    <tableColumn id="8" xr3:uid="{00000000-0010-0000-0C00-000008000000}" name="Fahrer" dataDxfId="40" dataCellStyle="Standard 2"/>
    <tableColumn id="2" xr3:uid="{00000000-0010-0000-0C00-000002000000}" name="lf.Nr." dataDxfId="39" dataCellStyle="Standard 2">
      <calculatedColumnFormula>IFERROR(INDEX(Teilnehmer[LfNr],_xlfn.AGGREGATE(15,6,ROW(Teilnehmer[LfNr])/((Teilnehmer[Kleingruppe]=$K$4)),ROW()-6)-1,1),"")</calculatedColumnFormula>
    </tableColumn>
    <tableColumn id="3" xr3:uid="{00000000-0010-0000-0C00-000003000000}" name="Name" dataDxfId="38" dataCellStyle="Standard 2">
      <calculatedColumnFormula>IFERROR(VLOOKUP(H7,Teilnehmer[],2,FALSE),"")</calculatedColumnFormula>
    </tableColumn>
    <tableColumn id="4" xr3:uid="{00000000-0010-0000-0C00-000004000000}" name="Vorname" dataDxfId="37" dataCellStyle="Standard 2">
      <calculatedColumnFormula>IFERROR(VLOOKUP(H7,Teilnehmer[],3,FALSE),"")</calculatedColumnFormula>
    </tableColumn>
    <tableColumn id="6" xr3:uid="{00000000-0010-0000-0C00-000006000000}" name="Alter" dataDxfId="36" dataCellStyle="Standard 2">
      <calculatedColumnFormula>IFERROR(VLOOKUP(H7,Teilnehmer[],5,FALSE),"")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nrad@tsv-ga.de" TargetMode="External"/><Relationship Id="rId1" Type="http://schemas.openxmlformats.org/officeDocument/2006/relationships/hyperlink" Target="mailto:Einrad.Anmeldung@tsv-ga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inrad.Anmeldung@tsv-ga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9" tint="0.39997558519241921"/>
  </sheetPr>
  <dimension ref="A1:E37"/>
  <sheetViews>
    <sheetView showGridLines="0" showRowColHeaders="0" tabSelected="1" showRuler="0" showWhiteSpace="0" view="pageLayout" zoomScaleNormal="100" workbookViewId="0">
      <selection activeCell="C8" sqref="C8:D8"/>
    </sheetView>
  </sheetViews>
  <sheetFormatPr baseColWidth="10" defaultColWidth="10.7109375" defaultRowHeight="15"/>
  <cols>
    <col min="1" max="1" width="8" style="14" customWidth="1"/>
    <col min="2" max="2" width="21" style="14" customWidth="1"/>
    <col min="3" max="3" width="13.7109375" style="14" customWidth="1"/>
    <col min="4" max="4" width="20.7109375" style="14" customWidth="1"/>
    <col min="5" max="5" width="10.7109375" style="14"/>
    <col min="6" max="6" width="12.85546875" style="14" customWidth="1"/>
    <col min="7" max="16384" width="10.7109375" style="14"/>
  </cols>
  <sheetData>
    <row r="1" spans="1:4" ht="33.75">
      <c r="A1" s="293" t="s">
        <v>74</v>
      </c>
      <c r="B1" s="19"/>
    </row>
    <row r="2" spans="1:4" ht="33.75">
      <c r="A2" s="18"/>
      <c r="B2" s="19"/>
    </row>
    <row r="3" spans="1:4" ht="28.5">
      <c r="B3" s="222">
        <v>45038</v>
      </c>
      <c r="C3" s="319">
        <v>45039</v>
      </c>
      <c r="D3" s="319"/>
    </row>
    <row r="4" spans="1:4" ht="28.5">
      <c r="B4" s="20"/>
      <c r="C4" s="21"/>
      <c r="D4" s="21"/>
    </row>
    <row r="5" spans="1:4" ht="28.5">
      <c r="B5" s="181" t="s">
        <v>25</v>
      </c>
      <c r="C5" s="15"/>
    </row>
    <row r="6" spans="1:4" ht="11.25" customHeight="1">
      <c r="B6" s="15"/>
      <c r="C6" s="15"/>
    </row>
    <row r="7" spans="1:4" ht="15.75" thickBot="1">
      <c r="C7" s="189" t="s">
        <v>68</v>
      </c>
    </row>
    <row r="8" spans="1:4" ht="22.7" customHeight="1">
      <c r="B8" s="283" t="s">
        <v>26</v>
      </c>
      <c r="C8" s="320"/>
      <c r="D8" s="321"/>
    </row>
    <row r="9" spans="1:4" ht="22.7" customHeight="1">
      <c r="B9" s="284" t="s">
        <v>27</v>
      </c>
      <c r="C9" s="322"/>
      <c r="D9" s="323"/>
    </row>
    <row r="10" spans="1:4" ht="22.7" customHeight="1">
      <c r="B10" s="284" t="s">
        <v>28</v>
      </c>
      <c r="C10" s="322"/>
      <c r="D10" s="323"/>
    </row>
    <row r="11" spans="1:4" ht="22.7" customHeight="1">
      <c r="B11" s="284" t="s">
        <v>29</v>
      </c>
      <c r="C11" s="324"/>
      <c r="D11" s="325"/>
    </row>
    <row r="12" spans="1:4" ht="22.7" customHeight="1">
      <c r="B12" s="284" t="s">
        <v>30</v>
      </c>
      <c r="C12" s="322"/>
      <c r="D12" s="323"/>
    </row>
    <row r="13" spans="1:4" ht="22.7" customHeight="1">
      <c r="B13" s="284" t="s">
        <v>31</v>
      </c>
      <c r="C13" s="322"/>
      <c r="D13" s="323"/>
    </row>
    <row r="14" spans="1:4" ht="22.7" customHeight="1">
      <c r="B14" s="284" t="s">
        <v>32</v>
      </c>
      <c r="C14" s="322"/>
      <c r="D14" s="323"/>
    </row>
    <row r="15" spans="1:4" ht="22.7" customHeight="1" thickBot="1">
      <c r="B15" s="285" t="s">
        <v>33</v>
      </c>
      <c r="C15" s="317"/>
      <c r="D15" s="318"/>
    </row>
    <row r="16" spans="1:4" ht="6.75" customHeight="1"/>
    <row r="17" spans="2:5">
      <c r="B17" s="193" t="s">
        <v>73</v>
      </c>
      <c r="C17" s="194"/>
      <c r="D17" s="194"/>
    </row>
    <row r="18" spans="2:5">
      <c r="B18" s="195" t="s">
        <v>72</v>
      </c>
      <c r="C18" s="194"/>
      <c r="D18" s="194"/>
    </row>
    <row r="19" spans="2:5" ht="5.25" customHeight="1"/>
    <row r="20" spans="2:5" ht="22.7" customHeight="1" thickBot="1">
      <c r="B20" s="147" t="s">
        <v>102</v>
      </c>
      <c r="C20" s="22"/>
    </row>
    <row r="21" spans="2:5" ht="28.15" customHeight="1">
      <c r="B21" s="275" t="s">
        <v>113</v>
      </c>
      <c r="C21" s="276">
        <v>12</v>
      </c>
      <c r="D21" s="24"/>
    </row>
    <row r="22" spans="2:5" ht="28.15" customHeight="1">
      <c r="B22" s="277" t="s">
        <v>114</v>
      </c>
      <c r="C22" s="278">
        <v>10</v>
      </c>
      <c r="D22" s="24"/>
    </row>
    <row r="23" spans="2:5" ht="28.15" customHeight="1">
      <c r="B23" s="277" t="s">
        <v>115</v>
      </c>
      <c r="C23" s="278">
        <v>8</v>
      </c>
      <c r="D23" s="24"/>
    </row>
    <row r="24" spans="2:5" ht="28.15" customHeight="1" thickBot="1">
      <c r="B24" s="279" t="s">
        <v>116</v>
      </c>
      <c r="C24" s="280">
        <v>8</v>
      </c>
      <c r="D24" s="212"/>
    </row>
    <row r="25" spans="2:5" ht="9" customHeight="1">
      <c r="B25" s="269"/>
      <c r="C25" s="271"/>
      <c r="D25" s="212"/>
    </row>
    <row r="26" spans="2:5" ht="8.4499999999999993" customHeight="1" thickBot="1">
      <c r="B26" s="270"/>
      <c r="C26" s="272"/>
      <c r="D26" s="182"/>
    </row>
    <row r="27" spans="2:5" customFormat="1" ht="33.950000000000003" customHeight="1" thickBot="1">
      <c r="B27" s="281" t="s">
        <v>112</v>
      </c>
      <c r="C27" s="282">
        <v>50</v>
      </c>
      <c r="D27" s="183"/>
      <c r="E27" s="267"/>
    </row>
    <row r="28" spans="2:5" customFormat="1" ht="9.75" customHeight="1">
      <c r="B28" s="268"/>
      <c r="C28" s="253"/>
      <c r="D28" s="183"/>
      <c r="E28" s="267"/>
    </row>
    <row r="29" spans="2:5" customFormat="1" ht="33.950000000000003" customHeight="1">
      <c r="B29" s="273" t="s">
        <v>34</v>
      </c>
      <c r="C29" s="274">
        <v>45004</v>
      </c>
      <c r="D29" s="183"/>
      <c r="E29" s="267"/>
    </row>
    <row r="30" spans="2:5" ht="8.4499999999999993" customHeight="1">
      <c r="B30" s="23"/>
      <c r="C30" s="23"/>
      <c r="D30" s="16"/>
    </row>
    <row r="31" spans="2:5" s="17" customFormat="1" ht="28.15" customHeight="1">
      <c r="B31" s="17" t="s">
        <v>35</v>
      </c>
      <c r="C31" s="206" t="s">
        <v>75</v>
      </c>
    </row>
    <row r="33" spans="2:4" ht="15.75">
      <c r="B33" s="180" t="s">
        <v>69</v>
      </c>
    </row>
    <row r="34" spans="2:4" ht="15.75">
      <c r="B34" s="16" t="s">
        <v>66</v>
      </c>
    </row>
    <row r="35" spans="2:4" ht="15.75">
      <c r="B35" s="16" t="s">
        <v>67</v>
      </c>
      <c r="D35"/>
    </row>
    <row r="36" spans="2:4" ht="15.75">
      <c r="B36" s="16" t="s">
        <v>79</v>
      </c>
      <c r="D36"/>
    </row>
    <row r="37" spans="2:4">
      <c r="B37" s="210" t="s">
        <v>80</v>
      </c>
    </row>
  </sheetData>
  <sheetProtection algorithmName="SHA-512" hashValue="chUTfphNsIdY17+nYft4Ro0YP+w+nHDrySUd5i4opc45MrrPmmq6Z2pj7VsjSXj2z+0PVa0nF1eot3zNkfX/Cg==" saltValue="FosNy+NP1rdBJkIj2zTU4A==" spinCount="100000" sheet="1" objects="1" selectLockedCells="1"/>
  <mergeCells count="9">
    <mergeCell ref="C15:D15"/>
    <mergeCell ref="C3:D3"/>
    <mergeCell ref="C8:D8"/>
    <mergeCell ref="C9:D9"/>
    <mergeCell ref="C10:D10"/>
    <mergeCell ref="C11:D11"/>
    <mergeCell ref="C12:D12"/>
    <mergeCell ref="C13:D13"/>
    <mergeCell ref="C14:D14"/>
  </mergeCells>
  <hyperlinks>
    <hyperlink ref="C31" r:id="rId1" xr:uid="{00000000-0004-0000-0000-000000000000}"/>
    <hyperlink ref="B37" r:id="rId2" xr:uid="{C916E74D-54CE-4926-B52C-61F857DB82EB}"/>
  </hyperlinks>
  <pageMargins left="0.70866141732283472" right="0.70866141732283472" top="0.78740157480314965" bottom="0.59055118110236227" header="0.31496062992125984" footer="0.31496062992125984"/>
  <pageSetup paperSize="9" orientation="portrait" horizontalDpi="4294967293" verticalDpi="0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C00000"/>
    <pageSetUpPr fitToPage="1"/>
  </sheetPr>
  <dimension ref="A1:Z52"/>
  <sheetViews>
    <sheetView showGridLines="0" showRowColHeaders="0" zoomScaleNormal="100" zoomScaleSheetLayoutView="10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5.7109375" defaultRowHeight="15"/>
  <cols>
    <col min="1" max="1" width="6.7109375" customWidth="1"/>
    <col min="2" max="2" width="19.42578125" style="163" bestFit="1" customWidth="1"/>
    <col min="3" max="3" width="13.140625" customWidth="1"/>
    <col min="4" max="4" width="11.7109375" customWidth="1"/>
    <col min="5" max="5" width="6.7109375" customWidth="1"/>
    <col min="6" max="7" width="4.7109375" style="2" customWidth="1"/>
    <col min="8" max="8" width="22.7109375" style="2" customWidth="1"/>
    <col min="9" max="9" width="5.7109375" style="2" customWidth="1"/>
    <col min="10" max="10" width="22.7109375" style="2" customWidth="1"/>
    <col min="11" max="12" width="5.7109375" style="2" customWidth="1"/>
    <col min="13" max="13" width="8.7109375" style="2" customWidth="1"/>
    <col min="14" max="14" width="6.7109375" hidden="1" customWidth="1"/>
    <col min="15" max="18" width="11.5703125" style="4" hidden="1" customWidth="1"/>
    <col min="19" max="19" width="9.140625" hidden="1" customWidth="1"/>
    <col min="20" max="20" width="5.7109375" hidden="1" customWidth="1"/>
    <col min="21" max="21" width="10.140625" hidden="1" customWidth="1"/>
    <col min="22" max="22" width="11" hidden="1" customWidth="1"/>
    <col min="23" max="25" width="10.7109375" hidden="1" customWidth="1"/>
    <col min="26" max="26" width="10.7109375" customWidth="1"/>
  </cols>
  <sheetData>
    <row r="1" spans="1:26" s="2" customFormat="1" ht="67.900000000000006" customHeight="1">
      <c r="A1" s="42" t="s">
        <v>21</v>
      </c>
      <c r="B1" s="161" t="s">
        <v>3</v>
      </c>
      <c r="C1" s="43" t="s">
        <v>4</v>
      </c>
      <c r="D1" s="43" t="s">
        <v>5</v>
      </c>
      <c r="E1" s="52" t="s">
        <v>51</v>
      </c>
      <c r="F1" s="44" t="s">
        <v>15</v>
      </c>
      <c r="G1" s="44" t="s">
        <v>14</v>
      </c>
      <c r="H1" s="43" t="s">
        <v>52</v>
      </c>
      <c r="I1" s="44" t="s">
        <v>13</v>
      </c>
      <c r="J1" s="43" t="s">
        <v>71</v>
      </c>
      <c r="K1" s="44" t="s">
        <v>9</v>
      </c>
      <c r="L1" s="44" t="s">
        <v>10</v>
      </c>
      <c r="M1" s="45" t="s">
        <v>17</v>
      </c>
      <c r="N1" s="41" t="s">
        <v>16</v>
      </c>
      <c r="O1" s="28" t="s">
        <v>76</v>
      </c>
      <c r="P1" s="28" t="s">
        <v>77</v>
      </c>
      <c r="Q1" s="28" t="s">
        <v>45</v>
      </c>
      <c r="R1" s="28" t="s">
        <v>78</v>
      </c>
      <c r="S1" s="32" t="s">
        <v>19</v>
      </c>
      <c r="T1" s="32"/>
      <c r="U1" s="33"/>
      <c r="V1" s="164">
        <f>Deckblatt!B3</f>
        <v>45038</v>
      </c>
      <c r="W1" s="165"/>
      <c r="X1" s="165"/>
      <c r="Y1" s="165"/>
    </row>
    <row r="2" spans="1:26" ht="18" customHeight="1">
      <c r="A2" s="292" t="str">
        <f>$U$2&amp;1</f>
        <v>1</v>
      </c>
      <c r="B2" s="5"/>
      <c r="C2" s="5"/>
      <c r="D2" s="34"/>
      <c r="E2" s="2" t="str">
        <f t="shared" ref="E2:E33" si="0">IF( D2&gt;1940,DATEDIF(D2,V$1,"y")," ")</f>
        <v xml:space="preserve"> </v>
      </c>
      <c r="F2" s="3"/>
      <c r="G2" s="53"/>
      <c r="H2" s="175"/>
      <c r="I2" s="80"/>
      <c r="J2" s="176"/>
      <c r="K2" s="54"/>
      <c r="L2" s="54"/>
      <c r="M2" s="221" t="str">
        <f>IFERROR(IF(B2="","",IF(Teilnehmer[[#This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" s="51"/>
      <c r="O2" s="4">
        <f>COUNTIF(Teilnehmer[[#This Row],[Einzelkür]:[Ek-Kürname]],"ja")</f>
        <v>0</v>
      </c>
      <c r="P2" s="4">
        <f>COUNTIF(Teilnehmer[[#This Row],[Paarkür]:[Pk-Kürname]],"&lt;&gt;")</f>
        <v>0</v>
      </c>
      <c r="Q2" s="4">
        <f>COUNTIF(Teilnehmer[[#This Row],[Kleingruppe]],"&lt;&gt;")</f>
        <v>0</v>
      </c>
      <c r="R2" s="4">
        <f>COUNTIF(Teilnehmer[[#This Row],[Großgruppe]],"&lt;&gt;")</f>
        <v>0</v>
      </c>
      <c r="S2" s="38" t="s">
        <v>24</v>
      </c>
      <c r="U2" s="39"/>
    </row>
    <row r="3" spans="1:26" ht="18" customHeight="1">
      <c r="A3" s="292" t="str">
        <f>$U$2&amp;2</f>
        <v>2</v>
      </c>
      <c r="B3" s="205"/>
      <c r="C3" s="5"/>
      <c r="D3" s="34"/>
      <c r="E3" s="2" t="str">
        <f t="shared" si="0"/>
        <v xml:space="preserve"> </v>
      </c>
      <c r="F3" s="3"/>
      <c r="G3" s="53"/>
      <c r="H3" s="175"/>
      <c r="I3" s="80"/>
      <c r="J3" s="176"/>
      <c r="K3" s="54"/>
      <c r="L3" s="54"/>
      <c r="M3" s="221" t="str">
        <f>IFERROR(IF(B3="","",IF(Teilnehmer[[#This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" s="31"/>
      <c r="O3" s="4">
        <f>COUNTIF(Teilnehmer[[#This Row],[Einzelkür]:[Ek-Kürname]],"ja")</f>
        <v>0</v>
      </c>
      <c r="P3" s="4">
        <f>COUNTIF(Teilnehmer[[#This Row],[Paarkür]:[Pk-Kürname]],"&lt;&gt;")</f>
        <v>0</v>
      </c>
      <c r="Q3" s="4">
        <f>COUNTIF(Teilnehmer[[#This Row],[Kleingruppe]],"&lt;&gt;")</f>
        <v>0</v>
      </c>
      <c r="R3" s="4">
        <f>COUNTIF(Teilnehmer[[#This Row],[Großgruppe]],"&lt;&gt;")</f>
        <v>0</v>
      </c>
      <c r="S3" s="35"/>
      <c r="T3" s="35"/>
      <c r="U3" s="36"/>
    </row>
    <row r="4" spans="1:26" ht="18" customHeight="1">
      <c r="A4" s="292" t="str">
        <f>$U$2&amp;3</f>
        <v>3</v>
      </c>
      <c r="B4" s="5"/>
      <c r="C4" s="5"/>
      <c r="D4" s="34"/>
      <c r="E4" s="2" t="str">
        <f t="shared" si="0"/>
        <v xml:space="preserve"> </v>
      </c>
      <c r="F4" s="3"/>
      <c r="G4" s="53"/>
      <c r="H4" s="175"/>
      <c r="I4" s="80"/>
      <c r="J4" s="176"/>
      <c r="K4" s="54"/>
      <c r="L4" s="54"/>
      <c r="M4" s="221" t="str">
        <f>IFERROR(IF(B4="","",IF(Teilnehmer[[#This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" s="31"/>
      <c r="O4" s="4">
        <f>COUNTIF(Teilnehmer[[#This Row],[Einzelkür]:[Ek-Kürname]],"ja")</f>
        <v>0</v>
      </c>
      <c r="P4" s="4">
        <f>COUNTIF(Teilnehmer[[#This Row],[Paarkür]:[Pk-Kürname]],"&lt;&gt;")</f>
        <v>0</v>
      </c>
      <c r="Q4" s="4">
        <f>COUNTIF(Teilnehmer[[#This Row],[Kleingruppe]],"&lt;&gt;")</f>
        <v>0</v>
      </c>
      <c r="R4" s="4">
        <f>COUNTIF(Teilnehmer[[#This Row],[Großgruppe]],"&lt;&gt;")</f>
        <v>0</v>
      </c>
      <c r="S4" s="25"/>
      <c r="T4" s="25"/>
      <c r="U4" s="40" t="s">
        <v>2</v>
      </c>
      <c r="V4" s="40" t="s">
        <v>18</v>
      </c>
      <c r="W4" s="40"/>
      <c r="X4" s="167"/>
      <c r="Y4" s="168">
        <v>1</v>
      </c>
    </row>
    <row r="5" spans="1:26" ht="18" customHeight="1">
      <c r="A5" s="292" t="str">
        <f>$U$2&amp;4</f>
        <v>4</v>
      </c>
      <c r="B5" s="5"/>
      <c r="C5" s="5"/>
      <c r="D5" s="34"/>
      <c r="E5" s="2" t="str">
        <f t="shared" si="0"/>
        <v xml:space="preserve"> </v>
      </c>
      <c r="F5" s="3"/>
      <c r="G5" s="53"/>
      <c r="H5" s="175"/>
      <c r="I5" s="80"/>
      <c r="J5" s="176"/>
      <c r="K5" s="54"/>
      <c r="L5" s="54"/>
      <c r="M5" s="221" t="str">
        <f>IFERROR(IF(B5="","",IF(Teilnehmer[[#This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5" s="31"/>
      <c r="O5" s="4">
        <f>COUNTIF(Teilnehmer[[#This Row],[Einzelkür]:[Ek-Kürname]],"ja")</f>
        <v>0</v>
      </c>
      <c r="P5" s="4">
        <f>COUNTIF(Teilnehmer[[#This Row],[Paarkür]:[Pk-Kürname]],"&lt;&gt;")</f>
        <v>0</v>
      </c>
      <c r="Q5" s="4">
        <f>COUNTIF(Teilnehmer[[#This Row],[Kleingruppe]],"&lt;&gt;")</f>
        <v>0</v>
      </c>
      <c r="R5" s="4">
        <f>COUNTIF(Teilnehmer[[#This Row],[Großgruppe]],"&lt;&gt;")</f>
        <v>0</v>
      </c>
      <c r="S5" s="37"/>
      <c r="T5" s="37"/>
      <c r="U5" s="40" t="s">
        <v>0</v>
      </c>
      <c r="V5" s="40" t="s">
        <v>1</v>
      </c>
      <c r="W5" s="166" t="s">
        <v>22</v>
      </c>
      <c r="X5" s="167" t="s">
        <v>37</v>
      </c>
      <c r="Y5" s="168">
        <v>2</v>
      </c>
    </row>
    <row r="6" spans="1:26" ht="18" customHeight="1">
      <c r="A6" s="292" t="str">
        <f>$U$2&amp;5</f>
        <v>5</v>
      </c>
      <c r="B6" s="5"/>
      <c r="C6" s="5"/>
      <c r="D6" s="34"/>
      <c r="E6" s="2" t="str">
        <f t="shared" ref="E6" si="1">IF( D6&gt;1940,DATEDIF(D6,V$1,"y")," ")</f>
        <v xml:space="preserve"> </v>
      </c>
      <c r="F6" s="3"/>
      <c r="G6" s="53"/>
      <c r="H6" s="175"/>
      <c r="I6" s="80"/>
      <c r="J6" s="176"/>
      <c r="K6" s="54"/>
      <c r="L6" s="54"/>
      <c r="M6" s="221" t="str">
        <f>IFERROR(IF(B6="","",IF(Teilnehmer[[#This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6" s="31"/>
      <c r="O6" s="4">
        <f>COUNTIF(Teilnehmer[[#This Row],[Einzelkür]:[Ek-Kürname]],"ja")</f>
        <v>0</v>
      </c>
      <c r="P6" s="4">
        <f>COUNTIF(Teilnehmer[[#This Row],[Paarkür]:[Pk-Kürname]],"&lt;&gt;")</f>
        <v>0</v>
      </c>
      <c r="Q6" s="4">
        <f>COUNTIF(Teilnehmer[[#This Row],[Kleingruppe]],"&lt;&gt;")</f>
        <v>0</v>
      </c>
      <c r="R6" s="4">
        <f>COUNTIF(Teilnehmer[[#This Row],[Großgruppe]],"&lt;&gt;")</f>
        <v>0</v>
      </c>
      <c r="U6" s="40" t="s">
        <v>11</v>
      </c>
      <c r="V6" s="40"/>
      <c r="W6" s="166" t="s">
        <v>23</v>
      </c>
      <c r="X6" s="167" t="s">
        <v>38</v>
      </c>
      <c r="Y6" s="168">
        <v>3</v>
      </c>
      <c r="Z6" s="165"/>
    </row>
    <row r="7" spans="1:26" ht="18" customHeight="1">
      <c r="A7" s="292" t="str">
        <f>$U$2&amp;6</f>
        <v>6</v>
      </c>
      <c r="B7" s="5"/>
      <c r="C7" s="5"/>
      <c r="D7" s="34"/>
      <c r="E7" s="2" t="str">
        <f t="shared" si="0"/>
        <v xml:space="preserve"> </v>
      </c>
      <c r="F7" s="3"/>
      <c r="G7" s="53"/>
      <c r="H7" s="175"/>
      <c r="I7" s="80"/>
      <c r="J7" s="176"/>
      <c r="K7" s="54"/>
      <c r="L7" s="54"/>
      <c r="M7" s="221" t="str">
        <f>IFERROR(IF(B7="","",IF(Teilnehmer[[#This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7" s="31"/>
      <c r="O7" s="4">
        <f>COUNTIF(Teilnehmer[[#This Row],[Einzelkür]:[Ek-Kürname]],"ja")</f>
        <v>0</v>
      </c>
      <c r="P7" s="4">
        <f>COUNTIF(Teilnehmer[[#This Row],[Paarkür]:[Pk-Kürname]],"&lt;&gt;")</f>
        <v>0</v>
      </c>
      <c r="Q7" s="4">
        <f>COUNTIF(Teilnehmer[[#This Row],[Kleingruppe]],"&lt;&gt;")</f>
        <v>0</v>
      </c>
      <c r="R7" s="4">
        <f>COUNTIF(Teilnehmer[[#This Row],[Großgruppe]],"&lt;&gt;")</f>
        <v>0</v>
      </c>
      <c r="U7" s="40"/>
      <c r="V7" s="40"/>
      <c r="W7" s="166" t="s">
        <v>36</v>
      </c>
      <c r="X7" s="167" t="s">
        <v>39</v>
      </c>
      <c r="Y7" s="168">
        <v>4</v>
      </c>
    </row>
    <row r="8" spans="1:26" ht="18" customHeight="1">
      <c r="A8" s="292" t="str">
        <f>$U$2&amp;7</f>
        <v>7</v>
      </c>
      <c r="B8" s="5"/>
      <c r="C8" s="5"/>
      <c r="D8" s="34"/>
      <c r="E8" s="2" t="str">
        <f t="shared" si="0"/>
        <v xml:space="preserve"> </v>
      </c>
      <c r="F8" s="3"/>
      <c r="G8" s="53"/>
      <c r="H8" s="175"/>
      <c r="I8" s="80"/>
      <c r="J8" s="176"/>
      <c r="K8" s="54"/>
      <c r="L8" s="54"/>
      <c r="M8" s="221" t="str">
        <f>IFERROR(IF(B8="","",IF(Teilnehmer[[#This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8" s="31"/>
      <c r="O8" s="4">
        <f>COUNTIF(Teilnehmer[[#This Row],[Einzelkür]:[Ek-Kürname]],"ja")</f>
        <v>0</v>
      </c>
      <c r="P8" s="4">
        <f>COUNTIF(Teilnehmer[[#This Row],[Paarkür]:[Pk-Kürname]],"&lt;&gt;")</f>
        <v>0</v>
      </c>
      <c r="Q8" s="4">
        <f>COUNTIF(Teilnehmer[[#This Row],[Kleingruppe]],"&lt;&gt;")</f>
        <v>0</v>
      </c>
      <c r="R8" s="4">
        <f>COUNTIF(Teilnehmer[[#This Row],[Großgruppe]],"&lt;&gt;")</f>
        <v>0</v>
      </c>
      <c r="U8" s="40"/>
      <c r="V8" s="40"/>
      <c r="W8" s="40" t="s">
        <v>50</v>
      </c>
      <c r="X8" s="167"/>
      <c r="Y8" s="168">
        <v>5</v>
      </c>
    </row>
    <row r="9" spans="1:26" ht="18" customHeight="1">
      <c r="A9" s="292" t="str">
        <f>$U$2&amp;8</f>
        <v>8</v>
      </c>
      <c r="B9" s="5"/>
      <c r="C9" s="5"/>
      <c r="D9" s="34"/>
      <c r="E9" s="2" t="str">
        <f t="shared" si="0"/>
        <v xml:space="preserve"> </v>
      </c>
      <c r="F9" s="3"/>
      <c r="G9" s="53"/>
      <c r="H9" s="175"/>
      <c r="I9" s="80"/>
      <c r="J9" s="176"/>
      <c r="K9" s="54"/>
      <c r="L9" s="54"/>
      <c r="M9" s="221" t="str">
        <f>IFERROR(IF(B9="","",IF(Teilnehmer[[#This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9" s="31"/>
      <c r="O9" s="4">
        <f>COUNTIF(Teilnehmer[[#This Row],[Einzelkür]:[Ek-Kürname]],"ja")</f>
        <v>0</v>
      </c>
      <c r="P9" s="4">
        <f>COUNTIF(Teilnehmer[[#This Row],[Paarkür]:[Pk-Kürname]],"&lt;&gt;")</f>
        <v>0</v>
      </c>
      <c r="Q9" s="4">
        <f>COUNTIF(Teilnehmer[[#This Row],[Kleingruppe]],"&lt;&gt;")</f>
        <v>0</v>
      </c>
      <c r="R9" s="4">
        <f>COUNTIF(Teilnehmer[[#This Row],[Großgruppe]],"&lt;&gt;")</f>
        <v>0</v>
      </c>
      <c r="Y9" s="168">
        <v>6</v>
      </c>
    </row>
    <row r="10" spans="1:26" ht="18" customHeight="1">
      <c r="A10" s="292" t="str">
        <f>$U$2&amp;9</f>
        <v>9</v>
      </c>
      <c r="B10" s="5"/>
      <c r="C10" s="5"/>
      <c r="D10" s="34"/>
      <c r="E10" s="2" t="str">
        <f t="shared" si="0"/>
        <v xml:space="preserve"> </v>
      </c>
      <c r="F10" s="3"/>
      <c r="G10" s="53"/>
      <c r="H10" s="175"/>
      <c r="I10" s="80"/>
      <c r="J10" s="176"/>
      <c r="K10" s="54"/>
      <c r="L10" s="54"/>
      <c r="M10" s="221" t="str">
        <f>IFERROR(IF(B10="","",IF(Teilnehmer[[#This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0" s="31"/>
      <c r="O10" s="4">
        <f>COUNTIF(Teilnehmer[[#This Row],[Einzelkür]:[Ek-Kürname]],"ja")</f>
        <v>0</v>
      </c>
      <c r="P10" s="4">
        <f>COUNTIF(Teilnehmer[[#This Row],[Paarkür]:[Pk-Kürname]],"&lt;&gt;")</f>
        <v>0</v>
      </c>
      <c r="Q10" s="4">
        <f>COUNTIF(Teilnehmer[[#This Row],[Kleingruppe]],"&lt;&gt;")</f>
        <v>0</v>
      </c>
      <c r="R10" s="4">
        <f>COUNTIF(Teilnehmer[[#This Row],[Großgruppe]],"&lt;&gt;")</f>
        <v>0</v>
      </c>
      <c r="Y10" s="168">
        <v>7</v>
      </c>
    </row>
    <row r="11" spans="1:26" ht="18" customHeight="1">
      <c r="A11" s="292" t="str">
        <f>$U$2&amp;10</f>
        <v>10</v>
      </c>
      <c r="B11" s="5"/>
      <c r="C11" s="5"/>
      <c r="D11" s="34"/>
      <c r="E11" s="2" t="str">
        <f t="shared" si="0"/>
        <v xml:space="preserve"> </v>
      </c>
      <c r="F11" s="3"/>
      <c r="G11" s="53"/>
      <c r="H11" s="175"/>
      <c r="I11" s="80"/>
      <c r="J11" s="176"/>
      <c r="K11" s="54"/>
      <c r="L11" s="54"/>
      <c r="M11" s="221" t="str">
        <f>IFERROR(IF(B11="","",IF(Teilnehmer[[#This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1" s="31"/>
      <c r="O11" s="4">
        <f>COUNTIF(Teilnehmer[[#This Row],[Einzelkür]:[Ek-Kürname]],"ja")</f>
        <v>0</v>
      </c>
      <c r="P11" s="4">
        <f>COUNTIF(Teilnehmer[[#This Row],[Paarkür]:[Pk-Kürname]],"&lt;&gt;")</f>
        <v>0</v>
      </c>
      <c r="Q11" s="4">
        <f>COUNTIF(Teilnehmer[[#This Row],[Kleingruppe]],"&lt;&gt;")</f>
        <v>0</v>
      </c>
      <c r="R11" s="4">
        <f>COUNTIF(Teilnehmer[[#This Row],[Großgruppe]],"&lt;&gt;")</f>
        <v>0</v>
      </c>
      <c r="Y11" s="168">
        <v>8</v>
      </c>
    </row>
    <row r="12" spans="1:26" ht="18" customHeight="1">
      <c r="A12" s="292" t="str">
        <f>$U$2&amp;11</f>
        <v>11</v>
      </c>
      <c r="B12" s="5"/>
      <c r="C12" s="5"/>
      <c r="D12" s="34"/>
      <c r="E12" s="2" t="str">
        <f t="shared" si="0"/>
        <v xml:space="preserve"> </v>
      </c>
      <c r="F12" s="3"/>
      <c r="G12" s="53"/>
      <c r="H12" s="175"/>
      <c r="I12" s="80"/>
      <c r="J12" s="176"/>
      <c r="K12" s="54"/>
      <c r="L12" s="54"/>
      <c r="M12" s="221" t="str">
        <f>IFERROR(IF(B12="","",IF(Teilnehmer[[#This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2" s="31"/>
      <c r="O12" s="4">
        <f>COUNTIF(Teilnehmer[[#This Row],[Einzelkür]:[Ek-Kürname]],"ja")</f>
        <v>0</v>
      </c>
      <c r="P12" s="4">
        <f>COUNTIF(Teilnehmer[[#This Row],[Paarkür]:[Pk-Kürname]],"&lt;&gt;")</f>
        <v>0</v>
      </c>
      <c r="Q12" s="4">
        <f>COUNTIF(Teilnehmer[[#This Row],[Kleingruppe]],"&lt;&gt;")</f>
        <v>0</v>
      </c>
      <c r="R12" s="4">
        <f>COUNTIF(Teilnehmer[[#This Row],[Großgruppe]],"&lt;&gt;")</f>
        <v>0</v>
      </c>
      <c r="Y12" s="168">
        <v>9</v>
      </c>
    </row>
    <row r="13" spans="1:26" ht="18" customHeight="1">
      <c r="A13" s="292" t="str">
        <f>$U$2&amp;12</f>
        <v>12</v>
      </c>
      <c r="B13" s="5"/>
      <c r="C13" s="5"/>
      <c r="D13" s="34"/>
      <c r="E13" s="2" t="str">
        <f t="shared" si="0"/>
        <v xml:space="preserve"> </v>
      </c>
      <c r="F13" s="3"/>
      <c r="G13" s="53"/>
      <c r="H13" s="175"/>
      <c r="I13" s="80"/>
      <c r="J13" s="176"/>
      <c r="K13" s="54"/>
      <c r="L13" s="54"/>
      <c r="M13" s="221" t="str">
        <f>IFERROR(IF(B13="","",IF(Teilnehmer[[#This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3" s="31"/>
      <c r="O13" s="4">
        <f>COUNTIF(Teilnehmer[[#This Row],[Einzelkür]:[Ek-Kürname]],"ja")</f>
        <v>0</v>
      </c>
      <c r="P13" s="4">
        <f>COUNTIF(Teilnehmer[[#This Row],[Paarkür]:[Pk-Kürname]],"&lt;&gt;")</f>
        <v>0</v>
      </c>
      <c r="Q13" s="4">
        <f>COUNTIF(Teilnehmer[[#This Row],[Kleingruppe]],"&lt;&gt;")</f>
        <v>0</v>
      </c>
      <c r="R13" s="4">
        <f>COUNTIF(Teilnehmer[[#This Row],[Großgruppe]],"&lt;&gt;")</f>
        <v>0</v>
      </c>
      <c r="Y13" s="168">
        <v>10</v>
      </c>
    </row>
    <row r="14" spans="1:26" ht="18" customHeight="1">
      <c r="A14" s="292" t="str">
        <f>$U$2&amp;13</f>
        <v>13</v>
      </c>
      <c r="B14" s="5"/>
      <c r="C14" s="5"/>
      <c r="D14" s="34"/>
      <c r="E14" s="2" t="str">
        <f t="shared" si="0"/>
        <v xml:space="preserve"> </v>
      </c>
      <c r="F14" s="3"/>
      <c r="G14" s="53"/>
      <c r="H14" s="175"/>
      <c r="I14" s="80"/>
      <c r="J14" s="176"/>
      <c r="K14" s="54"/>
      <c r="L14" s="54"/>
      <c r="M14" s="221" t="str">
        <f>IFERROR(IF(B14="","",IF(Teilnehmer[[#This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4" s="31"/>
      <c r="O14" s="4">
        <f>COUNTIF(Teilnehmer[[#This Row],[Einzelkür]:[Ek-Kürname]],"ja")</f>
        <v>0</v>
      </c>
      <c r="P14" s="4">
        <f>COUNTIF(Teilnehmer[[#This Row],[Paarkür]:[Pk-Kürname]],"&lt;&gt;")</f>
        <v>0</v>
      </c>
      <c r="Q14" s="4">
        <f>COUNTIF(Teilnehmer[[#This Row],[Kleingruppe]],"&lt;&gt;")</f>
        <v>0</v>
      </c>
      <c r="R14" s="4">
        <f>COUNTIF(Teilnehmer[[#This Row],[Großgruppe]],"&lt;&gt;")</f>
        <v>0</v>
      </c>
      <c r="Y14" s="168">
        <v>11</v>
      </c>
    </row>
    <row r="15" spans="1:26" ht="18" customHeight="1">
      <c r="A15" s="292" t="str">
        <f>$U$2&amp;14</f>
        <v>14</v>
      </c>
      <c r="B15" s="5"/>
      <c r="C15" s="5"/>
      <c r="D15" s="34"/>
      <c r="E15" s="2" t="str">
        <f t="shared" si="0"/>
        <v xml:space="preserve"> </v>
      </c>
      <c r="F15" s="3"/>
      <c r="G15" s="53"/>
      <c r="H15" s="175"/>
      <c r="I15" s="80"/>
      <c r="J15" s="176"/>
      <c r="K15" s="54"/>
      <c r="L15" s="54"/>
      <c r="M15" s="221" t="str">
        <f>IFERROR(IF(B15="","",IF(Teilnehmer[[#This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5" s="31"/>
      <c r="O15" s="4">
        <f>COUNTIF(Teilnehmer[[#This Row],[Einzelkür]:[Ek-Kürname]],"ja")</f>
        <v>0</v>
      </c>
      <c r="P15" s="4">
        <f>COUNTIF(Teilnehmer[[#This Row],[Paarkür]:[Pk-Kürname]],"&lt;&gt;")</f>
        <v>0</v>
      </c>
      <c r="Q15" s="4">
        <f>COUNTIF(Teilnehmer[[#This Row],[Kleingruppe]],"&lt;&gt;")</f>
        <v>0</v>
      </c>
      <c r="R15" s="4">
        <f>COUNTIF(Teilnehmer[[#This Row],[Großgruppe]],"&lt;&gt;")</f>
        <v>0</v>
      </c>
      <c r="Y15" s="168">
        <v>12</v>
      </c>
    </row>
    <row r="16" spans="1:26" ht="18" customHeight="1">
      <c r="A16" s="292" t="str">
        <f>$U$2&amp;15</f>
        <v>15</v>
      </c>
      <c r="B16" s="5"/>
      <c r="C16" s="5"/>
      <c r="D16" s="34"/>
      <c r="E16" s="2" t="str">
        <f t="shared" si="0"/>
        <v xml:space="preserve"> </v>
      </c>
      <c r="F16" s="3"/>
      <c r="G16" s="53"/>
      <c r="H16" s="175"/>
      <c r="I16" s="80"/>
      <c r="J16" s="176"/>
      <c r="K16" s="54"/>
      <c r="L16" s="54"/>
      <c r="M16" s="221" t="str">
        <f>IFERROR(IF(B16="","",IF(Teilnehmer[[#This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6" s="31"/>
      <c r="O16" s="4">
        <f>COUNTIF(Teilnehmer[[#This Row],[Einzelkür]:[Ek-Kürname]],"ja")</f>
        <v>0</v>
      </c>
      <c r="P16" s="4">
        <f>COUNTIF(Teilnehmer[[#This Row],[Paarkür]:[Pk-Kürname]],"&lt;&gt;")</f>
        <v>0</v>
      </c>
      <c r="Q16" s="4">
        <f>COUNTIF(Teilnehmer[[#This Row],[Kleingruppe]],"&lt;&gt;")</f>
        <v>0</v>
      </c>
      <c r="R16" s="4">
        <f>COUNTIF(Teilnehmer[[#This Row],[Großgruppe]],"&lt;&gt;")</f>
        <v>0</v>
      </c>
      <c r="Y16" s="168">
        <v>13</v>
      </c>
    </row>
    <row r="17" spans="1:25" ht="18" customHeight="1">
      <c r="A17" s="292" t="str">
        <f>$U$2&amp;16</f>
        <v>16</v>
      </c>
      <c r="B17" s="5"/>
      <c r="C17" s="5"/>
      <c r="D17" s="34"/>
      <c r="E17" s="2" t="str">
        <f t="shared" si="0"/>
        <v xml:space="preserve"> </v>
      </c>
      <c r="F17" s="3"/>
      <c r="G17" s="53"/>
      <c r="H17" s="175"/>
      <c r="I17" s="80"/>
      <c r="J17" s="176"/>
      <c r="K17" s="54"/>
      <c r="L17" s="54"/>
      <c r="M17" s="221" t="str">
        <f>IFERROR(IF(B17="","",IF(Teilnehmer[[#This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7" s="31"/>
      <c r="O17" s="4">
        <f>COUNTIF(Teilnehmer[[#This Row],[Einzelkür]:[Ek-Kürname]],"ja")</f>
        <v>0</v>
      </c>
      <c r="P17" s="4">
        <f>COUNTIF(Teilnehmer[[#This Row],[Paarkür]:[Pk-Kürname]],"&lt;&gt;")</f>
        <v>0</v>
      </c>
      <c r="Q17" s="4">
        <f>COUNTIF(Teilnehmer[[#This Row],[Kleingruppe]],"&lt;&gt;")</f>
        <v>0</v>
      </c>
      <c r="R17" s="4">
        <f>COUNTIF(Teilnehmer[[#This Row],[Großgruppe]],"&lt;&gt;")</f>
        <v>0</v>
      </c>
      <c r="Y17" s="168">
        <v>14</v>
      </c>
    </row>
    <row r="18" spans="1:25" ht="18" customHeight="1">
      <c r="A18" s="292" t="str">
        <f>$U$2&amp;17</f>
        <v>17</v>
      </c>
      <c r="B18" s="5"/>
      <c r="C18" s="5"/>
      <c r="D18" s="34"/>
      <c r="E18" s="2" t="str">
        <f t="shared" si="0"/>
        <v xml:space="preserve"> </v>
      </c>
      <c r="F18" s="3"/>
      <c r="G18" s="53"/>
      <c r="H18" s="175"/>
      <c r="I18" s="80"/>
      <c r="J18" s="176"/>
      <c r="K18" s="54"/>
      <c r="L18" s="54"/>
      <c r="M18" s="221" t="str">
        <f>IFERROR(IF(B18="","",IF(Teilnehmer[[#This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8" s="31"/>
      <c r="O18" s="4">
        <f>COUNTIF(Teilnehmer[[#This Row],[Einzelkür]:[Ek-Kürname]],"ja")</f>
        <v>0</v>
      </c>
      <c r="P18" s="4">
        <f>COUNTIF(Teilnehmer[[#This Row],[Paarkür]:[Pk-Kürname]],"&lt;&gt;")</f>
        <v>0</v>
      </c>
      <c r="Q18" s="4">
        <f>COUNTIF(Teilnehmer[[#This Row],[Kleingruppe]],"&lt;&gt;")</f>
        <v>0</v>
      </c>
      <c r="R18" s="4">
        <f>COUNTIF(Teilnehmer[[#This Row],[Großgruppe]],"&lt;&gt;")</f>
        <v>0</v>
      </c>
      <c r="Y18" s="168">
        <v>15</v>
      </c>
    </row>
    <row r="19" spans="1:25" ht="18" customHeight="1">
      <c r="A19" s="292" t="str">
        <f>$U$2&amp;18</f>
        <v>18</v>
      </c>
      <c r="B19" s="5"/>
      <c r="C19" s="5"/>
      <c r="D19" s="34"/>
      <c r="E19" s="2" t="str">
        <f t="shared" si="0"/>
        <v xml:space="preserve"> </v>
      </c>
      <c r="F19" s="3"/>
      <c r="G19" s="53"/>
      <c r="H19" s="175"/>
      <c r="I19" s="80"/>
      <c r="J19" s="176"/>
      <c r="K19" s="54"/>
      <c r="L19" s="54"/>
      <c r="M19" s="221" t="str">
        <f>IFERROR(IF(B19="","",IF(Teilnehmer[[#This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19" s="31"/>
      <c r="O19" s="4">
        <f>COUNTIF(Teilnehmer[[#This Row],[Einzelkür]:[Ek-Kürname]],"ja")</f>
        <v>0</v>
      </c>
      <c r="P19" s="4">
        <f>COUNTIF(Teilnehmer[[#This Row],[Paarkür]:[Pk-Kürname]],"&lt;&gt;")</f>
        <v>0</v>
      </c>
      <c r="Q19" s="4">
        <f>COUNTIF(Teilnehmer[[#This Row],[Kleingruppe]],"&lt;&gt;")</f>
        <v>0</v>
      </c>
      <c r="R19" s="4">
        <f>COUNTIF(Teilnehmer[[#This Row],[Großgruppe]],"&lt;&gt;")</f>
        <v>0</v>
      </c>
      <c r="Y19" s="168">
        <v>16</v>
      </c>
    </row>
    <row r="20" spans="1:25" ht="18" customHeight="1">
      <c r="A20" s="292" t="str">
        <f>$U$2&amp;19</f>
        <v>19</v>
      </c>
      <c r="B20" s="5"/>
      <c r="C20" s="5"/>
      <c r="D20" s="34"/>
      <c r="E20" s="2" t="str">
        <f t="shared" si="0"/>
        <v xml:space="preserve"> </v>
      </c>
      <c r="F20" s="3"/>
      <c r="G20" s="53"/>
      <c r="H20" s="175"/>
      <c r="I20" s="80"/>
      <c r="J20" s="176"/>
      <c r="K20" s="54"/>
      <c r="L20" s="54"/>
      <c r="M20" s="221" t="str">
        <f>IFERROR(IF(B20="","",IF(Teilnehmer[[#This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0" s="31"/>
      <c r="O20" s="4">
        <f>COUNTIF(Teilnehmer[[#This Row],[Einzelkür]:[Ek-Kürname]],"ja")</f>
        <v>0</v>
      </c>
      <c r="P20" s="4">
        <f>COUNTIF(Teilnehmer[[#This Row],[Paarkür]:[Pk-Kürname]],"&lt;&gt;")</f>
        <v>0</v>
      </c>
      <c r="Q20" s="4">
        <f>COUNTIF(Teilnehmer[[#This Row],[Kleingruppe]],"&lt;&gt;")</f>
        <v>0</v>
      </c>
      <c r="R20" s="4">
        <f>COUNTIF(Teilnehmer[[#This Row],[Großgruppe]],"&lt;&gt;")</f>
        <v>0</v>
      </c>
      <c r="Y20" s="168">
        <v>17</v>
      </c>
    </row>
    <row r="21" spans="1:25" ht="18" customHeight="1">
      <c r="A21" s="292" t="str">
        <f>$U$2&amp;20</f>
        <v>20</v>
      </c>
      <c r="B21" s="5"/>
      <c r="C21" s="5"/>
      <c r="D21" s="34"/>
      <c r="E21" s="2" t="str">
        <f t="shared" si="0"/>
        <v xml:space="preserve"> </v>
      </c>
      <c r="F21" s="3"/>
      <c r="G21" s="53"/>
      <c r="H21" s="175"/>
      <c r="I21" s="80"/>
      <c r="J21" s="176"/>
      <c r="K21" s="54"/>
      <c r="L21" s="54"/>
      <c r="M21" s="221" t="str">
        <f>IFERROR(IF(B21="","",IF(Teilnehmer[[#This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1" s="31"/>
      <c r="O21" s="4">
        <f>COUNTIF(Teilnehmer[[#This Row],[Einzelkür]:[Ek-Kürname]],"ja")</f>
        <v>0</v>
      </c>
      <c r="P21" s="4">
        <f>COUNTIF(Teilnehmer[[#This Row],[Paarkür]:[Pk-Kürname]],"&lt;&gt;")</f>
        <v>0</v>
      </c>
      <c r="Q21" s="4">
        <f>COUNTIF(Teilnehmer[[#This Row],[Kleingruppe]],"&lt;&gt;")</f>
        <v>0</v>
      </c>
      <c r="R21" s="4">
        <f>COUNTIF(Teilnehmer[[#This Row],[Großgruppe]],"&lt;&gt;")</f>
        <v>0</v>
      </c>
      <c r="Y21" s="168">
        <v>18</v>
      </c>
    </row>
    <row r="22" spans="1:25" ht="18" customHeight="1">
      <c r="A22" s="292" t="str">
        <f>$U$2&amp;21</f>
        <v>21</v>
      </c>
      <c r="B22" s="5"/>
      <c r="C22" s="5"/>
      <c r="D22" s="34"/>
      <c r="E22" s="2" t="str">
        <f t="shared" si="0"/>
        <v xml:space="preserve"> </v>
      </c>
      <c r="F22" s="3"/>
      <c r="G22" s="53"/>
      <c r="H22" s="175"/>
      <c r="I22" s="80"/>
      <c r="J22" s="176"/>
      <c r="K22" s="54"/>
      <c r="L22" s="54"/>
      <c r="M22" s="221" t="str">
        <f>IFERROR(IF(B22="","",IF(Teilnehmer[[#This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2" s="31"/>
      <c r="O22" s="4">
        <f>COUNTIF(Teilnehmer[[#This Row],[Einzelkür]:[Ek-Kürname]],"ja")</f>
        <v>0</v>
      </c>
      <c r="P22" s="4">
        <f>COUNTIF(Teilnehmer[[#This Row],[Paarkür]:[Pk-Kürname]],"&lt;&gt;")</f>
        <v>0</v>
      </c>
      <c r="Q22" s="4">
        <f>COUNTIF(Teilnehmer[[#This Row],[Kleingruppe]],"&lt;&gt;")</f>
        <v>0</v>
      </c>
      <c r="R22" s="4">
        <f>COUNTIF(Teilnehmer[[#This Row],[Großgruppe]],"&lt;&gt;")</f>
        <v>0</v>
      </c>
      <c r="Y22" s="168">
        <v>19</v>
      </c>
    </row>
    <row r="23" spans="1:25" ht="18" customHeight="1">
      <c r="A23" s="292" t="str">
        <f>$U$2&amp;22</f>
        <v>22</v>
      </c>
      <c r="B23" s="5"/>
      <c r="C23" s="5"/>
      <c r="D23" s="34"/>
      <c r="E23" s="2" t="str">
        <f t="shared" si="0"/>
        <v xml:space="preserve"> </v>
      </c>
      <c r="F23" s="3"/>
      <c r="G23" s="53"/>
      <c r="H23" s="175"/>
      <c r="I23" s="80"/>
      <c r="J23" s="176"/>
      <c r="K23" s="54"/>
      <c r="L23" s="54"/>
      <c r="M23" s="221" t="str">
        <f>IFERROR(IF(B23="","",IF(Teilnehmer[[#This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3" s="31"/>
      <c r="O23" s="4">
        <f>COUNTIF(Teilnehmer[[#This Row],[Einzelkür]:[Ek-Kürname]],"ja")</f>
        <v>0</v>
      </c>
      <c r="P23" s="4">
        <f>COUNTIF(Teilnehmer[[#This Row],[Paarkür]:[Pk-Kürname]],"&lt;&gt;")</f>
        <v>0</v>
      </c>
      <c r="Q23" s="4">
        <f>COUNTIF(Teilnehmer[[#This Row],[Kleingruppe]],"&lt;&gt;")</f>
        <v>0</v>
      </c>
      <c r="R23" s="4">
        <f>COUNTIF(Teilnehmer[[#This Row],[Großgruppe]],"&lt;&gt;")</f>
        <v>0</v>
      </c>
      <c r="Y23" s="168">
        <v>20</v>
      </c>
    </row>
    <row r="24" spans="1:25" ht="18" customHeight="1">
      <c r="A24" s="292" t="str">
        <f>$U$2&amp;23</f>
        <v>23</v>
      </c>
      <c r="B24" s="5"/>
      <c r="C24" s="5"/>
      <c r="D24" s="34"/>
      <c r="E24" s="2" t="str">
        <f t="shared" si="0"/>
        <v xml:space="preserve"> </v>
      </c>
      <c r="F24" s="3"/>
      <c r="G24" s="53"/>
      <c r="H24" s="175"/>
      <c r="I24" s="80"/>
      <c r="J24" s="176"/>
      <c r="K24" s="54"/>
      <c r="L24" s="54"/>
      <c r="M24" s="221" t="str">
        <f>IFERROR(IF(B24="","",IF(Teilnehmer[[#This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4" s="31"/>
      <c r="O24" s="4">
        <f>COUNTIF(Teilnehmer[[#This Row],[Einzelkür]:[Ek-Kürname]],"ja")</f>
        <v>0</v>
      </c>
      <c r="P24" s="4">
        <f>COUNTIF(Teilnehmer[[#This Row],[Paarkür]:[Pk-Kürname]],"&lt;&gt;")</f>
        <v>0</v>
      </c>
      <c r="Q24" s="4">
        <f>COUNTIF(Teilnehmer[[#This Row],[Kleingruppe]],"&lt;&gt;")</f>
        <v>0</v>
      </c>
      <c r="R24" s="4">
        <f>COUNTIF(Teilnehmer[[#This Row],[Großgruppe]],"&lt;&gt;")</f>
        <v>0</v>
      </c>
      <c r="Y24" s="168">
        <v>21</v>
      </c>
    </row>
    <row r="25" spans="1:25" ht="18" customHeight="1">
      <c r="A25" s="292" t="str">
        <f>$U$2&amp;24</f>
        <v>24</v>
      </c>
      <c r="B25" s="5"/>
      <c r="C25" s="5"/>
      <c r="D25" s="34"/>
      <c r="E25" s="2" t="str">
        <f t="shared" si="0"/>
        <v xml:space="preserve"> </v>
      </c>
      <c r="F25" s="3"/>
      <c r="G25" s="53"/>
      <c r="H25" s="175"/>
      <c r="I25" s="80"/>
      <c r="J25" s="176"/>
      <c r="K25" s="54"/>
      <c r="L25" s="54"/>
      <c r="M25" s="221" t="str">
        <f>IFERROR(IF(B25="","",IF(Teilnehmer[[#This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5" s="31"/>
      <c r="O25" s="4">
        <f>COUNTIF(Teilnehmer[[#This Row],[Einzelkür]:[Ek-Kürname]],"ja")</f>
        <v>0</v>
      </c>
      <c r="P25" s="4">
        <f>COUNTIF(Teilnehmer[[#This Row],[Paarkür]:[Pk-Kürname]],"&lt;&gt;")</f>
        <v>0</v>
      </c>
      <c r="Q25" s="4">
        <f>COUNTIF(Teilnehmer[[#This Row],[Kleingruppe]],"&lt;&gt;")</f>
        <v>0</v>
      </c>
      <c r="R25" s="4">
        <f>COUNTIF(Teilnehmer[[#This Row],[Großgruppe]],"&lt;&gt;")</f>
        <v>0</v>
      </c>
      <c r="Y25" s="168">
        <v>22</v>
      </c>
    </row>
    <row r="26" spans="1:25" ht="18" customHeight="1">
      <c r="A26" s="292" t="str">
        <f>$U$2&amp;25</f>
        <v>25</v>
      </c>
      <c r="B26" s="5"/>
      <c r="C26" s="5"/>
      <c r="D26" s="34"/>
      <c r="E26" s="2" t="str">
        <f t="shared" si="0"/>
        <v xml:space="preserve"> </v>
      </c>
      <c r="F26" s="3"/>
      <c r="G26" s="53"/>
      <c r="H26" s="175"/>
      <c r="I26" s="80"/>
      <c r="J26" s="176"/>
      <c r="K26" s="54"/>
      <c r="L26" s="54"/>
      <c r="M26" s="221" t="str">
        <f>IFERROR(IF(B26="","",IF(Teilnehmer[[#This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6" s="31"/>
      <c r="O26" s="4">
        <f>COUNTIF(Teilnehmer[[#This Row],[Einzelkür]:[Ek-Kürname]],"ja")</f>
        <v>0</v>
      </c>
      <c r="P26" s="4">
        <f>COUNTIF(Teilnehmer[[#This Row],[Paarkür]:[Pk-Kürname]],"&lt;&gt;")</f>
        <v>0</v>
      </c>
      <c r="Q26" s="4">
        <f>COUNTIF(Teilnehmer[[#This Row],[Kleingruppe]],"&lt;&gt;")</f>
        <v>0</v>
      </c>
      <c r="R26" s="4">
        <f>COUNTIF(Teilnehmer[[#This Row],[Großgruppe]],"&lt;&gt;")</f>
        <v>0</v>
      </c>
      <c r="Y26" s="168">
        <v>23</v>
      </c>
    </row>
    <row r="27" spans="1:25" ht="18" customHeight="1">
      <c r="A27" s="292" t="str">
        <f>$U$2&amp;26</f>
        <v>26</v>
      </c>
      <c r="B27" s="5"/>
      <c r="C27" s="5"/>
      <c r="D27" s="34"/>
      <c r="E27" s="2" t="str">
        <f t="shared" si="0"/>
        <v xml:space="preserve"> </v>
      </c>
      <c r="F27" s="3"/>
      <c r="G27" s="53"/>
      <c r="H27" s="175"/>
      <c r="I27" s="80"/>
      <c r="J27" s="176"/>
      <c r="K27" s="54"/>
      <c r="L27" s="54"/>
      <c r="M27" s="221" t="str">
        <f>IFERROR(IF(B27="","",IF(Teilnehmer[[#This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7" s="31"/>
      <c r="O27" s="4">
        <f>COUNTIF(Teilnehmer[[#This Row],[Einzelkür]:[Ek-Kürname]],"ja")</f>
        <v>0</v>
      </c>
      <c r="P27" s="4">
        <f>COUNTIF(Teilnehmer[[#This Row],[Paarkür]:[Pk-Kürname]],"&lt;&gt;")</f>
        <v>0</v>
      </c>
      <c r="Q27" s="4">
        <f>COUNTIF(Teilnehmer[[#This Row],[Kleingruppe]],"&lt;&gt;")</f>
        <v>0</v>
      </c>
      <c r="R27" s="4">
        <f>COUNTIF(Teilnehmer[[#This Row],[Großgruppe]],"&lt;&gt;")</f>
        <v>0</v>
      </c>
      <c r="Y27" s="168">
        <v>24</v>
      </c>
    </row>
    <row r="28" spans="1:25" ht="18" customHeight="1">
      <c r="A28" s="292" t="str">
        <f>$U$2&amp;27</f>
        <v>27</v>
      </c>
      <c r="B28" s="5"/>
      <c r="C28" s="5"/>
      <c r="D28" s="34"/>
      <c r="E28" s="2" t="str">
        <f t="shared" si="0"/>
        <v xml:space="preserve"> </v>
      </c>
      <c r="F28" s="3"/>
      <c r="G28" s="53"/>
      <c r="H28" s="175"/>
      <c r="I28" s="80"/>
      <c r="J28" s="176"/>
      <c r="K28" s="54"/>
      <c r="L28" s="54"/>
      <c r="M28" s="221" t="str">
        <f>IFERROR(IF(B28="","",IF(Teilnehmer[[#This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8" s="31"/>
      <c r="O28" s="4">
        <f>COUNTIF(Teilnehmer[[#This Row],[Einzelkür]:[Ek-Kürname]],"ja")</f>
        <v>0</v>
      </c>
      <c r="P28" s="4">
        <f>COUNTIF(Teilnehmer[[#This Row],[Paarkür]:[Pk-Kürname]],"&lt;&gt;")</f>
        <v>0</v>
      </c>
      <c r="Q28" s="4">
        <f>COUNTIF(Teilnehmer[[#This Row],[Kleingruppe]],"&lt;&gt;")</f>
        <v>0</v>
      </c>
      <c r="R28" s="4">
        <f>COUNTIF(Teilnehmer[[#This Row],[Großgruppe]],"&lt;&gt;")</f>
        <v>0</v>
      </c>
    </row>
    <row r="29" spans="1:25" ht="18" customHeight="1">
      <c r="A29" s="292" t="str">
        <f>$U$2&amp;28</f>
        <v>28</v>
      </c>
      <c r="B29" s="5"/>
      <c r="C29" s="5"/>
      <c r="D29" s="34"/>
      <c r="E29" s="2" t="str">
        <f t="shared" si="0"/>
        <v xml:space="preserve"> </v>
      </c>
      <c r="F29" s="3"/>
      <c r="G29" s="53"/>
      <c r="H29" s="175"/>
      <c r="I29" s="80"/>
      <c r="J29" s="176"/>
      <c r="K29" s="54"/>
      <c r="L29" s="54"/>
      <c r="M29" s="221" t="str">
        <f>IFERROR(IF(B29="","",IF(Teilnehmer[[#This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29" s="31"/>
      <c r="O29" s="4">
        <f>COUNTIF(Teilnehmer[[#This Row],[Einzelkür]:[Ek-Kürname]],"ja")</f>
        <v>0</v>
      </c>
      <c r="P29" s="4">
        <f>COUNTIF(Teilnehmer[[#This Row],[Paarkür]:[Pk-Kürname]],"&lt;&gt;")</f>
        <v>0</v>
      </c>
      <c r="Q29" s="4">
        <f>COUNTIF(Teilnehmer[[#This Row],[Kleingruppe]],"&lt;&gt;")</f>
        <v>0</v>
      </c>
      <c r="R29" s="4">
        <f>COUNTIF(Teilnehmer[[#This Row],[Großgruppe]],"&lt;&gt;")</f>
        <v>0</v>
      </c>
    </row>
    <row r="30" spans="1:25" ht="18" customHeight="1">
      <c r="A30" s="292" t="str">
        <f>$U$2&amp;29</f>
        <v>29</v>
      </c>
      <c r="B30" s="5"/>
      <c r="C30" s="5"/>
      <c r="D30" s="34"/>
      <c r="E30" s="2" t="str">
        <f t="shared" si="0"/>
        <v xml:space="preserve"> </v>
      </c>
      <c r="F30" s="3"/>
      <c r="G30" s="53"/>
      <c r="H30" s="175"/>
      <c r="I30" s="80"/>
      <c r="J30" s="176"/>
      <c r="K30" s="54"/>
      <c r="L30" s="54"/>
      <c r="M30" s="221" t="str">
        <f>IFERROR(IF(B30="","",IF(Teilnehmer[[#This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0" s="31"/>
      <c r="O30" s="4">
        <f>COUNTIF(Teilnehmer[[#This Row],[Einzelkür]:[Ek-Kürname]],"ja")</f>
        <v>0</v>
      </c>
      <c r="P30" s="4">
        <f>COUNTIF(Teilnehmer[[#This Row],[Paarkür]:[Pk-Kürname]],"&lt;&gt;")</f>
        <v>0</v>
      </c>
      <c r="Q30" s="4">
        <f>COUNTIF(Teilnehmer[[#This Row],[Kleingruppe]],"&lt;&gt;")</f>
        <v>0</v>
      </c>
      <c r="R30" s="4">
        <f>COUNTIF(Teilnehmer[[#This Row],[Großgruppe]],"&lt;&gt;")</f>
        <v>0</v>
      </c>
    </row>
    <row r="31" spans="1:25" ht="18" customHeight="1">
      <c r="A31" s="292" t="str">
        <f>$U$2&amp;30</f>
        <v>30</v>
      </c>
      <c r="B31" s="5"/>
      <c r="C31" s="5"/>
      <c r="D31" s="34"/>
      <c r="E31" s="2" t="str">
        <f t="shared" si="0"/>
        <v xml:space="preserve"> </v>
      </c>
      <c r="F31" s="3"/>
      <c r="G31" s="53"/>
      <c r="H31" s="175"/>
      <c r="I31" s="80"/>
      <c r="J31" s="176"/>
      <c r="K31" s="54"/>
      <c r="L31" s="54"/>
      <c r="M31" s="221" t="str">
        <f>IFERROR(IF(B31="","",IF(Teilnehmer[[#This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1" s="31"/>
      <c r="O31" s="4">
        <f>COUNTIF(Teilnehmer[[#This Row],[Einzelkür]:[Ek-Kürname]],"ja")</f>
        <v>0</v>
      </c>
      <c r="P31" s="4">
        <f>COUNTIF(Teilnehmer[[#This Row],[Paarkür]:[Pk-Kürname]],"&lt;&gt;")</f>
        <v>0</v>
      </c>
      <c r="Q31" s="4">
        <f>COUNTIF(Teilnehmer[[#This Row],[Kleingruppe]],"&lt;&gt;")</f>
        <v>0</v>
      </c>
      <c r="R31" s="4">
        <f>COUNTIF(Teilnehmer[[#This Row],[Großgruppe]],"&lt;&gt;")</f>
        <v>0</v>
      </c>
    </row>
    <row r="32" spans="1:25" ht="18" customHeight="1">
      <c r="A32" s="292" t="str">
        <f>$U$2&amp;31</f>
        <v>31</v>
      </c>
      <c r="B32" s="5"/>
      <c r="C32" s="5"/>
      <c r="D32" s="34"/>
      <c r="E32" s="2" t="str">
        <f t="shared" si="0"/>
        <v xml:space="preserve"> </v>
      </c>
      <c r="F32" s="3"/>
      <c r="G32" s="53"/>
      <c r="H32" s="175"/>
      <c r="I32" s="80"/>
      <c r="J32" s="176"/>
      <c r="K32" s="54"/>
      <c r="L32" s="54"/>
      <c r="M32" s="221" t="str">
        <f>IFERROR(IF(B32="","",IF(Teilnehmer[[#This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2" s="31"/>
      <c r="O32" s="4">
        <f>COUNTIF(Teilnehmer[[#This Row],[Einzelkür]:[Ek-Kürname]],"ja")</f>
        <v>0</v>
      </c>
      <c r="P32" s="4">
        <f>COUNTIF(Teilnehmer[[#This Row],[Paarkür]:[Pk-Kürname]],"&lt;&gt;")</f>
        <v>0</v>
      </c>
      <c r="Q32" s="4">
        <f>COUNTIF(Teilnehmer[[#This Row],[Kleingruppe]],"&lt;&gt;")</f>
        <v>0</v>
      </c>
      <c r="R32" s="4">
        <f>COUNTIF(Teilnehmer[[#This Row],[Großgruppe]],"&lt;&gt;")</f>
        <v>0</v>
      </c>
    </row>
    <row r="33" spans="1:25" ht="18" customHeight="1">
      <c r="A33" s="292" t="str">
        <f>$U$2&amp;32</f>
        <v>32</v>
      </c>
      <c r="B33" s="5"/>
      <c r="C33" s="5"/>
      <c r="D33" s="34"/>
      <c r="E33" s="2" t="str">
        <f t="shared" si="0"/>
        <v xml:space="preserve"> </v>
      </c>
      <c r="F33" s="3"/>
      <c r="G33" s="53"/>
      <c r="H33" s="175"/>
      <c r="I33" s="80"/>
      <c r="J33" s="176"/>
      <c r="K33" s="54"/>
      <c r="L33" s="54"/>
      <c r="M33" s="221" t="str">
        <f>IFERROR(IF(B33="","",IF(Teilnehmer[[#This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3" s="31"/>
      <c r="O33" s="4">
        <f>COUNTIF(Teilnehmer[[#This Row],[Einzelkür]:[Ek-Kürname]],"ja")</f>
        <v>0</v>
      </c>
      <c r="P33" s="4">
        <f>COUNTIF(Teilnehmer[[#This Row],[Paarkür]:[Pk-Kürname]],"&lt;&gt;")</f>
        <v>0</v>
      </c>
      <c r="Q33" s="4">
        <f>COUNTIF(Teilnehmer[[#This Row],[Kleingruppe]],"&lt;&gt;")</f>
        <v>0</v>
      </c>
      <c r="R33" s="4">
        <f>COUNTIF(Teilnehmer[[#This Row],[Großgruppe]],"&lt;&gt;")</f>
        <v>0</v>
      </c>
      <c r="Y33" t="s">
        <v>11</v>
      </c>
    </row>
    <row r="34" spans="1:25" ht="18" customHeight="1">
      <c r="A34" s="292" t="str">
        <f>$U$2&amp;33</f>
        <v>33</v>
      </c>
      <c r="B34" s="5"/>
      <c r="C34" s="5"/>
      <c r="D34" s="34"/>
      <c r="E34" s="2" t="str">
        <f t="shared" ref="E34:E51" si="2">IF( D34&gt;1940,DATEDIF(D34,V$1,"y")," ")</f>
        <v xml:space="preserve"> </v>
      </c>
      <c r="F34" s="3"/>
      <c r="G34" s="53"/>
      <c r="H34" s="175"/>
      <c r="I34" s="80"/>
      <c r="J34" s="176"/>
      <c r="K34" s="54"/>
      <c r="L34" s="54"/>
      <c r="M34" s="221" t="str">
        <f>IFERROR(IF(B34="","",IF(Teilnehmer[[#This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4" s="31"/>
      <c r="O34" s="4">
        <f>COUNTIF(Teilnehmer[[#This Row],[Einzelkür]:[Ek-Kürname]],"ja")</f>
        <v>0</v>
      </c>
      <c r="P34" s="4">
        <f>COUNTIF(Teilnehmer[[#This Row],[Paarkür]:[Pk-Kürname]],"&lt;&gt;")</f>
        <v>0</v>
      </c>
      <c r="Q34" s="4">
        <f>COUNTIF(Teilnehmer[[#This Row],[Kleingruppe]],"&lt;&gt;")</f>
        <v>0</v>
      </c>
      <c r="R34" s="4">
        <f>COUNTIF(Teilnehmer[[#This Row],[Großgruppe]],"&lt;&gt;")</f>
        <v>0</v>
      </c>
    </row>
    <row r="35" spans="1:25" ht="18" customHeight="1">
      <c r="A35" s="292" t="str">
        <f>$U$2&amp;34</f>
        <v>34</v>
      </c>
      <c r="B35" s="5"/>
      <c r="C35" s="5"/>
      <c r="D35" s="34"/>
      <c r="E35" s="2" t="str">
        <f t="shared" si="2"/>
        <v xml:space="preserve"> </v>
      </c>
      <c r="F35" s="3"/>
      <c r="G35" s="53"/>
      <c r="H35" s="175"/>
      <c r="I35" s="80"/>
      <c r="J35" s="176"/>
      <c r="K35" s="54"/>
      <c r="L35" s="54"/>
      <c r="M35" s="221" t="str">
        <f>IFERROR(IF(B35="","",IF(Teilnehmer[[#This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5" s="31"/>
      <c r="O35" s="4">
        <f>COUNTIF(Teilnehmer[[#This Row],[Einzelkür]:[Ek-Kürname]],"ja")</f>
        <v>0</v>
      </c>
      <c r="P35" s="4">
        <f>COUNTIF(Teilnehmer[[#This Row],[Paarkür]:[Pk-Kürname]],"&lt;&gt;")</f>
        <v>0</v>
      </c>
      <c r="Q35" s="4">
        <f>COUNTIF(Teilnehmer[[#This Row],[Kleingruppe]],"&lt;&gt;")</f>
        <v>0</v>
      </c>
      <c r="R35" s="4">
        <f>COUNTIF(Teilnehmer[[#This Row],[Großgruppe]],"&lt;&gt;")</f>
        <v>0</v>
      </c>
    </row>
    <row r="36" spans="1:25" ht="18" customHeight="1">
      <c r="A36" s="292" t="str">
        <f>$U$2&amp;35</f>
        <v>35</v>
      </c>
      <c r="B36" s="5"/>
      <c r="C36" s="5"/>
      <c r="D36" s="34"/>
      <c r="E36" s="2" t="str">
        <f t="shared" si="2"/>
        <v xml:space="preserve"> </v>
      </c>
      <c r="F36" s="3"/>
      <c r="G36" s="53"/>
      <c r="H36" s="175"/>
      <c r="I36" s="80"/>
      <c r="J36" s="176"/>
      <c r="K36" s="54"/>
      <c r="L36" s="54"/>
      <c r="M36" s="221" t="str">
        <f>IFERROR(IF(B36="","",IF(Teilnehmer[[#This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6" s="31"/>
      <c r="O36" s="4">
        <f>COUNTIF(Teilnehmer[[#This Row],[Einzelkür]:[Ek-Kürname]],"ja")</f>
        <v>0</v>
      </c>
      <c r="P36" s="4">
        <f>COUNTIF(Teilnehmer[[#This Row],[Paarkür]:[Pk-Kürname]],"&lt;&gt;")</f>
        <v>0</v>
      </c>
      <c r="Q36" s="4">
        <f>COUNTIF(Teilnehmer[[#This Row],[Kleingruppe]],"&lt;&gt;")</f>
        <v>0</v>
      </c>
      <c r="R36" s="4">
        <f>COUNTIF(Teilnehmer[[#This Row],[Großgruppe]],"&lt;&gt;")</f>
        <v>0</v>
      </c>
    </row>
    <row r="37" spans="1:25" ht="18" customHeight="1">
      <c r="A37" s="292" t="str">
        <f>$U$2&amp;36</f>
        <v>36</v>
      </c>
      <c r="B37" s="5"/>
      <c r="C37" s="5"/>
      <c r="D37" s="34"/>
      <c r="E37" s="2" t="str">
        <f t="shared" si="2"/>
        <v xml:space="preserve"> </v>
      </c>
      <c r="F37" s="3"/>
      <c r="G37" s="53"/>
      <c r="H37" s="175"/>
      <c r="I37" s="80"/>
      <c r="J37" s="176"/>
      <c r="K37" s="54"/>
      <c r="L37" s="54"/>
      <c r="M37" s="221" t="str">
        <f>IFERROR(IF(B37="","",IF(Teilnehmer[[#This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7" s="31"/>
      <c r="O37" s="4">
        <f>COUNTIF(Teilnehmer[[#This Row],[Einzelkür]:[Ek-Kürname]],"ja")</f>
        <v>0</v>
      </c>
      <c r="P37" s="4">
        <f>COUNTIF(Teilnehmer[[#This Row],[Paarkür]:[Pk-Kürname]],"&lt;&gt;")</f>
        <v>0</v>
      </c>
      <c r="Q37" s="4">
        <f>COUNTIF(Teilnehmer[[#This Row],[Kleingruppe]],"&lt;&gt;")</f>
        <v>0</v>
      </c>
      <c r="R37" s="4">
        <f>COUNTIF(Teilnehmer[[#This Row],[Großgruppe]],"&lt;&gt;")</f>
        <v>0</v>
      </c>
    </row>
    <row r="38" spans="1:25" ht="18" customHeight="1">
      <c r="A38" s="292" t="str">
        <f>$U$2&amp;37</f>
        <v>37</v>
      </c>
      <c r="B38" s="5"/>
      <c r="C38" s="5"/>
      <c r="D38" s="34"/>
      <c r="E38" s="2" t="str">
        <f t="shared" si="2"/>
        <v xml:space="preserve"> </v>
      </c>
      <c r="F38" s="3"/>
      <c r="G38" s="53"/>
      <c r="H38" s="175"/>
      <c r="I38" s="80"/>
      <c r="J38" s="176"/>
      <c r="K38" s="54"/>
      <c r="L38" s="54"/>
      <c r="M38" s="221" t="str">
        <f>IFERROR(IF(B38="","",IF(Teilnehmer[[#This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8" s="31"/>
      <c r="O38" s="4">
        <f>COUNTIF(Teilnehmer[[#This Row],[Einzelkür]:[Ek-Kürname]],"ja")</f>
        <v>0</v>
      </c>
      <c r="P38" s="4">
        <f>COUNTIF(Teilnehmer[[#This Row],[Paarkür]:[Pk-Kürname]],"&lt;&gt;")</f>
        <v>0</v>
      </c>
      <c r="Q38" s="4">
        <f>COUNTIF(Teilnehmer[[#This Row],[Kleingruppe]],"&lt;&gt;")</f>
        <v>0</v>
      </c>
      <c r="R38" s="4">
        <f>COUNTIF(Teilnehmer[[#This Row],[Großgruppe]],"&lt;&gt;")</f>
        <v>0</v>
      </c>
    </row>
    <row r="39" spans="1:25" ht="18" customHeight="1">
      <c r="A39" s="292" t="str">
        <f>$U$2&amp;38</f>
        <v>38</v>
      </c>
      <c r="B39" s="5"/>
      <c r="C39" s="5"/>
      <c r="D39" s="34"/>
      <c r="E39" s="2" t="str">
        <f t="shared" si="2"/>
        <v xml:space="preserve"> </v>
      </c>
      <c r="F39" s="3"/>
      <c r="G39" s="53"/>
      <c r="H39" s="175"/>
      <c r="I39" s="80"/>
      <c r="J39" s="176"/>
      <c r="K39" s="54"/>
      <c r="L39" s="54"/>
      <c r="M39" s="221" t="str">
        <f>IFERROR(IF(B39="","",IF(Teilnehmer[[#This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39" s="31"/>
      <c r="O39" s="4">
        <f>COUNTIF(Teilnehmer[[#This Row],[Einzelkür]:[Ek-Kürname]],"ja")</f>
        <v>0</v>
      </c>
      <c r="P39" s="4">
        <f>COUNTIF(Teilnehmer[[#This Row],[Paarkür]:[Pk-Kürname]],"&lt;&gt;")</f>
        <v>0</v>
      </c>
      <c r="Q39" s="4">
        <f>COUNTIF(Teilnehmer[[#This Row],[Kleingruppe]],"&lt;&gt;")</f>
        <v>0</v>
      </c>
      <c r="R39" s="4">
        <f>COUNTIF(Teilnehmer[[#This Row],[Großgruppe]],"&lt;&gt;")</f>
        <v>0</v>
      </c>
    </row>
    <row r="40" spans="1:25" ht="18" customHeight="1">
      <c r="A40" s="292" t="str">
        <f>$U$2&amp;39</f>
        <v>39</v>
      </c>
      <c r="B40" s="5"/>
      <c r="C40" s="5"/>
      <c r="D40" s="34"/>
      <c r="E40" s="2" t="str">
        <f t="shared" si="2"/>
        <v xml:space="preserve"> </v>
      </c>
      <c r="F40" s="3"/>
      <c r="G40" s="53"/>
      <c r="H40" s="175"/>
      <c r="I40" s="80"/>
      <c r="J40" s="176"/>
      <c r="K40" s="54"/>
      <c r="L40" s="54"/>
      <c r="M40" s="221" t="str">
        <f>IFERROR(IF(B40="","",IF(Teilnehmer[[#This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0" s="31"/>
      <c r="O40" s="4">
        <f>COUNTIF(Teilnehmer[[#This Row],[Einzelkür]:[Ek-Kürname]],"ja")</f>
        <v>0</v>
      </c>
      <c r="P40" s="4">
        <f>COUNTIF(Teilnehmer[[#This Row],[Paarkür]:[Pk-Kürname]],"&lt;&gt;")</f>
        <v>0</v>
      </c>
      <c r="Q40" s="4">
        <f>COUNTIF(Teilnehmer[[#This Row],[Kleingruppe]],"&lt;&gt;")</f>
        <v>0</v>
      </c>
      <c r="R40" s="4">
        <f>COUNTIF(Teilnehmer[[#This Row],[Großgruppe]],"&lt;&gt;")</f>
        <v>0</v>
      </c>
    </row>
    <row r="41" spans="1:25" ht="18" customHeight="1">
      <c r="A41" s="292" t="str">
        <f>$U$2&amp;40</f>
        <v>40</v>
      </c>
      <c r="B41" s="5"/>
      <c r="C41" s="5"/>
      <c r="D41" s="34"/>
      <c r="E41" s="2" t="str">
        <f t="shared" si="2"/>
        <v xml:space="preserve"> </v>
      </c>
      <c r="F41" s="3"/>
      <c r="G41" s="53"/>
      <c r="H41" s="175"/>
      <c r="I41" s="80"/>
      <c r="J41" s="176"/>
      <c r="K41" s="54"/>
      <c r="L41" s="54"/>
      <c r="M41" s="221" t="str">
        <f>IFERROR(IF(B41="","",IF(Teilnehmer[[#This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1" s="31"/>
      <c r="O41" s="4">
        <f>COUNTIF(Teilnehmer[[#This Row],[Einzelkür]:[Ek-Kürname]],"ja")</f>
        <v>0</v>
      </c>
      <c r="P41" s="4">
        <f>COUNTIF(Teilnehmer[[#This Row],[Paarkür]:[Pk-Kürname]],"&lt;&gt;")</f>
        <v>0</v>
      </c>
      <c r="Q41" s="4">
        <f>COUNTIF(Teilnehmer[[#This Row],[Kleingruppe]],"&lt;&gt;")</f>
        <v>0</v>
      </c>
      <c r="R41" s="4">
        <f>COUNTIF(Teilnehmer[[#This Row],[Großgruppe]],"&lt;&gt;")</f>
        <v>0</v>
      </c>
    </row>
    <row r="42" spans="1:25" ht="18" customHeight="1">
      <c r="A42" s="292" t="str">
        <f>$U$2&amp;41</f>
        <v>41</v>
      </c>
      <c r="B42" s="5"/>
      <c r="C42" s="5"/>
      <c r="D42" s="34"/>
      <c r="E42" s="2" t="str">
        <f t="shared" si="2"/>
        <v xml:space="preserve"> </v>
      </c>
      <c r="F42" s="3"/>
      <c r="G42" s="53"/>
      <c r="H42" s="175"/>
      <c r="I42" s="80"/>
      <c r="J42" s="176"/>
      <c r="K42" s="54"/>
      <c r="L42" s="54"/>
      <c r="M42" s="221" t="str">
        <f>IFERROR(IF(B42="","",IF(Teilnehmer[[#This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2" s="31"/>
      <c r="O42" s="4">
        <f>COUNTIF(Teilnehmer[[#This Row],[Einzelkür]:[Ek-Kürname]],"ja")</f>
        <v>0</v>
      </c>
      <c r="P42" s="4">
        <f>COUNTIF(Teilnehmer[[#This Row],[Paarkür]:[Pk-Kürname]],"&lt;&gt;")</f>
        <v>0</v>
      </c>
      <c r="Q42" s="4">
        <f>COUNTIF(Teilnehmer[[#This Row],[Kleingruppe]],"&lt;&gt;")</f>
        <v>0</v>
      </c>
      <c r="R42" s="4">
        <f>COUNTIF(Teilnehmer[[#This Row],[Großgruppe]],"&lt;&gt;")</f>
        <v>0</v>
      </c>
    </row>
    <row r="43" spans="1:25" ht="18" customHeight="1">
      <c r="A43" s="292" t="str">
        <f>$U$2&amp;42</f>
        <v>42</v>
      </c>
      <c r="B43" s="5"/>
      <c r="C43" s="5"/>
      <c r="D43" s="34"/>
      <c r="E43" s="2" t="str">
        <f t="shared" si="2"/>
        <v xml:space="preserve"> </v>
      </c>
      <c r="F43" s="3"/>
      <c r="G43" s="53"/>
      <c r="H43" s="175"/>
      <c r="I43" s="80"/>
      <c r="J43" s="176"/>
      <c r="K43" s="54"/>
      <c r="L43" s="54"/>
      <c r="M43" s="221" t="str">
        <f>IFERROR(IF(B43="","",IF(Teilnehmer[[#This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3" s="31"/>
      <c r="O43" s="4">
        <f>COUNTIF(Teilnehmer[[#This Row],[Einzelkür]:[Ek-Kürname]],"ja")</f>
        <v>0</v>
      </c>
      <c r="P43" s="4">
        <f>COUNTIF(Teilnehmer[[#This Row],[Paarkür]:[Pk-Kürname]],"&lt;&gt;")</f>
        <v>0</v>
      </c>
      <c r="Q43" s="4">
        <f>COUNTIF(Teilnehmer[[#This Row],[Kleingruppe]],"&lt;&gt;")</f>
        <v>0</v>
      </c>
      <c r="R43" s="4">
        <f>COUNTIF(Teilnehmer[[#This Row],[Großgruppe]],"&lt;&gt;")</f>
        <v>0</v>
      </c>
    </row>
    <row r="44" spans="1:25" ht="18" customHeight="1">
      <c r="A44" s="292" t="str">
        <f>$U$2&amp;43</f>
        <v>43</v>
      </c>
      <c r="B44" s="5"/>
      <c r="C44" s="5"/>
      <c r="D44" s="34"/>
      <c r="E44" s="2" t="str">
        <f t="shared" si="2"/>
        <v xml:space="preserve"> </v>
      </c>
      <c r="F44" s="3"/>
      <c r="G44" s="53"/>
      <c r="H44" s="175"/>
      <c r="I44" s="80"/>
      <c r="J44" s="176"/>
      <c r="K44" s="54"/>
      <c r="L44" s="54"/>
      <c r="M44" s="221" t="str">
        <f>IFERROR(IF(B44="","",IF(Teilnehmer[[#This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4" s="31"/>
      <c r="O44" s="4">
        <f>COUNTIF(Teilnehmer[[#This Row],[Einzelkür]:[Ek-Kürname]],"ja")</f>
        <v>0</v>
      </c>
      <c r="P44" s="4">
        <f>COUNTIF(Teilnehmer[[#This Row],[Paarkür]:[Pk-Kürname]],"&lt;&gt;")</f>
        <v>0</v>
      </c>
      <c r="Q44" s="4">
        <f>COUNTIF(Teilnehmer[[#This Row],[Kleingruppe]],"&lt;&gt;")</f>
        <v>0</v>
      </c>
      <c r="R44" s="4">
        <f>COUNTIF(Teilnehmer[[#This Row],[Großgruppe]],"&lt;&gt;")</f>
        <v>0</v>
      </c>
    </row>
    <row r="45" spans="1:25" ht="18" customHeight="1">
      <c r="A45" s="292" t="str">
        <f>$U$2&amp;44</f>
        <v>44</v>
      </c>
      <c r="B45" s="5"/>
      <c r="C45" s="5"/>
      <c r="D45" s="34"/>
      <c r="E45" s="2" t="str">
        <f t="shared" si="2"/>
        <v xml:space="preserve"> </v>
      </c>
      <c r="F45" s="3"/>
      <c r="G45" s="53"/>
      <c r="H45" s="175"/>
      <c r="I45" s="80"/>
      <c r="J45" s="176"/>
      <c r="K45" s="54"/>
      <c r="L45" s="54"/>
      <c r="M45" s="221" t="str">
        <f>IFERROR(IF(B45="","",IF(Teilnehmer[[#This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5" s="31"/>
      <c r="O45" s="4">
        <f>COUNTIF(Teilnehmer[[#This Row],[Einzelkür]:[Ek-Kürname]],"ja")</f>
        <v>0</v>
      </c>
      <c r="P45" s="4">
        <f>COUNTIF(Teilnehmer[[#This Row],[Paarkür]:[Pk-Kürname]],"&lt;&gt;")</f>
        <v>0</v>
      </c>
      <c r="Q45" s="4">
        <f>COUNTIF(Teilnehmer[[#This Row],[Kleingruppe]],"&lt;&gt;")</f>
        <v>0</v>
      </c>
      <c r="R45" s="4">
        <f>COUNTIF(Teilnehmer[[#This Row],[Großgruppe]],"&lt;&gt;")</f>
        <v>0</v>
      </c>
    </row>
    <row r="46" spans="1:25" ht="18" customHeight="1">
      <c r="A46" s="292" t="str">
        <f>$U$2&amp;45</f>
        <v>45</v>
      </c>
      <c r="B46" s="5"/>
      <c r="C46" s="5"/>
      <c r="D46" s="34"/>
      <c r="E46" s="2" t="str">
        <f t="shared" si="2"/>
        <v xml:space="preserve"> </v>
      </c>
      <c r="F46" s="3"/>
      <c r="G46" s="53"/>
      <c r="H46" s="175"/>
      <c r="I46" s="80"/>
      <c r="J46" s="176"/>
      <c r="K46" s="54"/>
      <c r="L46" s="54"/>
      <c r="M46" s="221" t="str">
        <f>IFERROR(IF(B46="","",IF(Teilnehmer[[#This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6" s="31"/>
      <c r="O46" s="4">
        <f>COUNTIF(Teilnehmer[[#This Row],[Einzelkür]:[Ek-Kürname]],"ja")</f>
        <v>0</v>
      </c>
      <c r="P46" s="4">
        <f>COUNTIF(Teilnehmer[[#This Row],[Paarkür]:[Pk-Kürname]],"&lt;&gt;")</f>
        <v>0</v>
      </c>
      <c r="Q46" s="4">
        <f>COUNTIF(Teilnehmer[[#This Row],[Kleingruppe]],"&lt;&gt;")</f>
        <v>0</v>
      </c>
      <c r="R46" s="4">
        <f>COUNTIF(Teilnehmer[[#This Row],[Großgruppe]],"&lt;&gt;")</f>
        <v>0</v>
      </c>
    </row>
    <row r="47" spans="1:25" ht="18" customHeight="1">
      <c r="A47" s="292" t="str">
        <f>$U$2&amp;46</f>
        <v>46</v>
      </c>
      <c r="B47" s="5"/>
      <c r="C47" s="5"/>
      <c r="D47" s="34"/>
      <c r="E47" s="2" t="str">
        <f t="shared" si="2"/>
        <v xml:space="preserve"> </v>
      </c>
      <c r="F47" s="3"/>
      <c r="G47" s="53"/>
      <c r="H47" s="175"/>
      <c r="I47" s="80"/>
      <c r="J47" s="176"/>
      <c r="K47" s="54"/>
      <c r="L47" s="54"/>
      <c r="M47" s="221" t="str">
        <f>IFERROR(IF(B47="","",IF(Teilnehmer[[#This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7" s="31"/>
      <c r="O47" s="4">
        <f>COUNTIF(Teilnehmer[[#This Row],[Einzelkür]:[Ek-Kürname]],"ja")</f>
        <v>0</v>
      </c>
      <c r="P47" s="4">
        <f>COUNTIF(Teilnehmer[[#This Row],[Paarkür]:[Pk-Kürname]],"&lt;&gt;")</f>
        <v>0</v>
      </c>
      <c r="Q47" s="4">
        <f>COUNTIF(Teilnehmer[[#This Row],[Kleingruppe]],"&lt;&gt;")</f>
        <v>0</v>
      </c>
      <c r="R47" s="4">
        <f>COUNTIF(Teilnehmer[[#This Row],[Großgruppe]],"&lt;&gt;")</f>
        <v>0</v>
      </c>
    </row>
    <row r="48" spans="1:25" ht="18" customHeight="1">
      <c r="A48" s="292" t="str">
        <f>$U$2&amp;47</f>
        <v>47</v>
      </c>
      <c r="B48" s="5"/>
      <c r="C48" s="5"/>
      <c r="D48" s="34"/>
      <c r="E48" s="2" t="str">
        <f t="shared" si="2"/>
        <v xml:space="preserve"> </v>
      </c>
      <c r="F48" s="3"/>
      <c r="G48" s="53"/>
      <c r="H48" s="175"/>
      <c r="I48" s="80"/>
      <c r="J48" s="176"/>
      <c r="K48" s="54"/>
      <c r="L48" s="54"/>
      <c r="M48" s="221" t="str">
        <f>IFERROR(IF(B48="","",IF(Teilnehmer[[#This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8" s="31"/>
      <c r="O48" s="4">
        <f>COUNTIF(Teilnehmer[[#This Row],[Einzelkür]:[Ek-Kürname]],"ja")</f>
        <v>0</v>
      </c>
      <c r="P48" s="4">
        <f>COUNTIF(Teilnehmer[[#This Row],[Paarkür]:[Pk-Kürname]],"&lt;&gt;")</f>
        <v>0</v>
      </c>
      <c r="Q48" s="4">
        <f>COUNTIF(Teilnehmer[[#This Row],[Kleingruppe]],"&lt;&gt;")</f>
        <v>0</v>
      </c>
      <c r="R48" s="4">
        <f>COUNTIF(Teilnehmer[[#This Row],[Großgruppe]],"&lt;&gt;")</f>
        <v>0</v>
      </c>
    </row>
    <row r="49" spans="1:18" ht="18" customHeight="1">
      <c r="A49" s="292" t="str">
        <f>$U$2&amp;48</f>
        <v>48</v>
      </c>
      <c r="B49" s="5"/>
      <c r="C49" s="5"/>
      <c r="D49" s="34"/>
      <c r="E49" s="2" t="str">
        <f t="shared" si="2"/>
        <v xml:space="preserve"> </v>
      </c>
      <c r="F49" s="3"/>
      <c r="G49" s="53"/>
      <c r="H49" s="175"/>
      <c r="I49" s="80"/>
      <c r="J49" s="176"/>
      <c r="K49" s="54"/>
      <c r="L49" s="54"/>
      <c r="M49" s="221" t="str">
        <f>IFERROR(IF(B49="","",IF(Teilnehmer[[#This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49" s="31"/>
      <c r="O49" s="4">
        <f>COUNTIF(Teilnehmer[[#This Row],[Einzelkür]:[Ek-Kürname]],"ja")</f>
        <v>0</v>
      </c>
      <c r="P49" s="4">
        <f>COUNTIF(Teilnehmer[[#This Row],[Paarkür]:[Pk-Kürname]],"&lt;&gt;")</f>
        <v>0</v>
      </c>
      <c r="Q49" s="4">
        <f>COUNTIF(Teilnehmer[[#This Row],[Kleingruppe]],"&lt;&gt;")</f>
        <v>0</v>
      </c>
      <c r="R49" s="4">
        <f>COUNTIF(Teilnehmer[[#This Row],[Großgruppe]],"&lt;&gt;")</f>
        <v>0</v>
      </c>
    </row>
    <row r="50" spans="1:18" ht="18" customHeight="1">
      <c r="A50" s="292" t="str">
        <f>$U$2&amp;49</f>
        <v>49</v>
      </c>
      <c r="B50" s="5"/>
      <c r="C50" s="5"/>
      <c r="D50" s="34"/>
      <c r="E50" s="2" t="str">
        <f t="shared" si="2"/>
        <v xml:space="preserve"> </v>
      </c>
      <c r="F50" s="3"/>
      <c r="G50" s="53"/>
      <c r="H50" s="177"/>
      <c r="I50" s="80"/>
      <c r="J50" s="178"/>
      <c r="K50" s="179"/>
      <c r="L50" s="179"/>
      <c r="M50" s="221" t="str">
        <f>IFERROR(IF(B50="","",IF(Teilnehmer[[#This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50" s="31"/>
      <c r="O50" s="4">
        <f>COUNTIF(Teilnehmer[[#This Row],[Einzelkür]:[Ek-Kürname]],"ja")</f>
        <v>0</v>
      </c>
      <c r="P50" s="4">
        <f>COUNTIF(Teilnehmer[[#This Row],[Paarkür]:[Pk-Kürname]],"&lt;&gt;")</f>
        <v>0</v>
      </c>
      <c r="Q50" s="4">
        <f>COUNTIF(Teilnehmer[[#This Row],[Kleingruppe]],"&lt;&gt;")</f>
        <v>0</v>
      </c>
      <c r="R50" s="4">
        <f>COUNTIF(Teilnehmer[[#This Row],[Großgruppe]],"&lt;&gt;")</f>
        <v>0</v>
      </c>
    </row>
    <row r="51" spans="1:18" ht="18" customHeight="1" thickBot="1">
      <c r="A51" s="292" t="str">
        <f>$U$2&amp;50</f>
        <v>50</v>
      </c>
      <c r="B51" s="5"/>
      <c r="C51" s="5"/>
      <c r="D51" s="34"/>
      <c r="E51" s="2" t="str">
        <f t="shared" si="2"/>
        <v xml:space="preserve"> </v>
      </c>
      <c r="F51" s="3"/>
      <c r="G51" s="53"/>
      <c r="H51" s="175"/>
      <c r="I51" s="80"/>
      <c r="J51" s="176"/>
      <c r="K51" s="54"/>
      <c r="L51" s="54"/>
      <c r="M51" s="221" t="str">
        <f>IFERROR(IF(B51="","",IF(Teilnehmer[[#This Row],[Einzelkür]]="ja",Deckblatt!$C$21,IF(NOT(Teilnehmer[[#This Row],[Ek-Kürname]]=""),12)))+(IF(NOT(Teilnehmer[[#This Row],[Paarkür]]=""),Deckblatt!$C$22,0))+(IF(NOT(Teilnehmer[[#This Row],[Kleingruppe]]=""),Deckblatt!$C$23,0))+(IF(NOT(Teilnehmer[[#This Row],[Großgruppe]]=""),Deckblatt!$C$24,0)),"")</f>
        <v/>
      </c>
      <c r="N51" s="51"/>
      <c r="O51" s="4">
        <f>COUNTIF(Teilnehmer[[#This Row],[Einzelkür]:[Ek-Kürname]],"ja")</f>
        <v>0</v>
      </c>
      <c r="P51" s="4">
        <f>COUNTIF(Teilnehmer[[#This Row],[Paarkür]:[Pk-Kürname]],"&lt;&gt;")</f>
        <v>0</v>
      </c>
      <c r="Q51" s="4">
        <f>COUNTIF(Teilnehmer[[#This Row],[Kleingruppe]],"&lt;&gt;")</f>
        <v>0</v>
      </c>
      <c r="R51" s="4">
        <f>COUNTIF(Teilnehmer[[#This Row],[Großgruppe]],"&lt;&gt;")</f>
        <v>0</v>
      </c>
    </row>
    <row r="52" spans="1:18" ht="15.75" thickBot="1">
      <c r="A52" s="46" t="s">
        <v>40</v>
      </c>
      <c r="B52" s="162"/>
      <c r="C52" s="169"/>
      <c r="D52" s="170"/>
      <c r="E52" s="171">
        <f>SUBTOTAL(102,Teilnehmer[Alter am Wettkampftag])</f>
        <v>0</v>
      </c>
      <c r="F52" s="170"/>
      <c r="G52" s="172"/>
      <c r="H52" s="172"/>
      <c r="I52" s="172"/>
      <c r="J52" s="172"/>
      <c r="K52" s="173"/>
      <c r="L52" s="173"/>
      <c r="M52" s="174">
        <f>SUM(Teilnehmer[Startgebühr])</f>
        <v>0</v>
      </c>
      <c r="N52" s="51"/>
      <c r="O52">
        <f>SUBTOTAL(109,Teilnehmer[12 €])</f>
        <v>0</v>
      </c>
      <c r="P52">
        <f>SUBTOTAL(109,Teilnehmer[10 €])</f>
        <v>0</v>
      </c>
      <c r="Q52">
        <f>SUBTOTAL(109,Teilnehmer[8 €])</f>
        <v>0</v>
      </c>
      <c r="R52">
        <f>SUBTOTAL(109,Teilnehmer[8 €_])</f>
        <v>0</v>
      </c>
    </row>
  </sheetData>
  <sheetProtection algorithmName="SHA-512" hashValue="kiNzCZjKEKN8XladkdzZTmM4Ss8WHL9o8J5erew1l9nJRTJyax3PpKyeV7cPKAbSV7Fd0OOHbWw8pKX1p8JqgQ==" saltValue="BD5eEvfeaj8RnYZctGHAKw==" spinCount="100000" sheet="1" selectLockedCells="1"/>
  <phoneticPr fontId="16" type="noConversion"/>
  <conditionalFormatting sqref="I2:I51">
    <cfRule type="expression" dxfId="21" priority="1">
      <formula>COUNTIF(I2:I$2,I2)&gt;2</formula>
    </cfRule>
  </conditionalFormatting>
  <dataValidations count="7">
    <dataValidation type="date" allowBlank="1" showInputMessage="1" showErrorMessage="1" error="Datum falsch_x000a_Jahr muss größer 1945 kleiner 2017 sein" sqref="D2:D51" xr:uid="{00000000-0002-0000-0100-000000000000}">
      <formula1>16438</formula1>
      <formula2>42818</formula2>
    </dataValidation>
    <dataValidation allowBlank="1" showErrorMessage="1" sqref="J2:J51 H2:H51" xr:uid="{00000000-0002-0000-0100-000001000000}"/>
    <dataValidation type="list" allowBlank="1" showInputMessage="1" showErrorMessage="1" sqref="L2:L51" xr:uid="{00000000-0002-0000-0100-000003000000}">
      <formula1>$X$4:$X$7</formula1>
    </dataValidation>
    <dataValidation type="list" allowBlank="1" showInputMessage="1" showErrorMessage="1" sqref="K2:K51" xr:uid="{00000000-0002-0000-0100-000006000000}">
      <formula1>$W$4:$W$8</formula1>
    </dataValidation>
    <dataValidation type="list" allowBlank="1" showErrorMessage="1" error="Bitte Paare gleiche Nr. eingeben_x000a_1-24" sqref="I2:I51" xr:uid="{00000000-0002-0000-0100-000007000000}">
      <formula1>$Y$3:$Y$27</formula1>
    </dataValidation>
    <dataValidation type="list" allowBlank="1" showErrorMessage="1" error="w oder m" sqref="F2:F51" xr:uid="{00000000-0002-0000-0100-000009000000}">
      <formula1>$U$3:$U$5</formula1>
    </dataValidation>
    <dataValidation type="list" allowBlank="1" showErrorMessage="1" sqref="G2:G51" xr:uid="{00000000-0002-0000-0100-00000A000000}">
      <formula1>$V$3:$V$5</formula1>
    </dataValidation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4294967293" r:id="rId1"/>
  <headerFooter>
    <oddHeader>&amp;R&amp;F</oddHeader>
  </headerFooter>
  <ignoredErrors>
    <ignoredError sqref="A2 A4 A5:A51" calculatedColumn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0000"/>
  </sheetPr>
  <dimension ref="A1:CB172"/>
  <sheetViews>
    <sheetView showRuler="0" view="pageLayout" zoomScaleNormal="100" workbookViewId="0">
      <selection activeCell="B5" sqref="B5"/>
    </sheetView>
  </sheetViews>
  <sheetFormatPr baseColWidth="10" defaultColWidth="11.42578125" defaultRowHeight="12.75"/>
  <cols>
    <col min="1" max="1" width="4.140625" style="57" customWidth="1"/>
    <col min="2" max="2" width="37.7109375" style="57" customWidth="1"/>
    <col min="3" max="3" width="21.85546875" style="57" customWidth="1"/>
    <col min="4" max="4" width="2.42578125" style="57" customWidth="1"/>
    <col min="5" max="5" width="9" style="57" customWidth="1"/>
    <col min="6" max="6" width="12" style="57" customWidth="1"/>
    <col min="7" max="7" width="22.140625" style="57" hidden="1" customWidth="1"/>
    <col min="8" max="9" width="4.42578125" style="57" hidden="1" customWidth="1"/>
    <col min="10" max="10" width="2.140625" style="57" hidden="1" customWidth="1"/>
    <col min="11" max="11" width="11.42578125" style="57" customWidth="1"/>
    <col min="12" max="16384" width="11.42578125" style="57"/>
  </cols>
  <sheetData>
    <row r="1" spans="1:14" s="60" customFormat="1" ht="33.75">
      <c r="A1" s="18"/>
      <c r="B1" s="134" t="s">
        <v>74</v>
      </c>
      <c r="C1" s="134"/>
      <c r="D1" s="134"/>
      <c r="G1" s="135" t="s">
        <v>65</v>
      </c>
      <c r="H1" s="73">
        <f>COUNTA(Teilnehmer[Vorname])</f>
        <v>0</v>
      </c>
      <c r="I1" s="136" t="s">
        <v>62</v>
      </c>
      <c r="J1" s="136">
        <v>1</v>
      </c>
    </row>
    <row r="2" spans="1:14" s="60" customFormat="1" ht="33.75">
      <c r="A2" s="18"/>
      <c r="B2" s="134"/>
      <c r="C2" s="134"/>
      <c r="D2" s="134"/>
      <c r="H2" s="136"/>
      <c r="I2" s="136" t="s">
        <v>63</v>
      </c>
      <c r="J2" s="136">
        <v>2</v>
      </c>
    </row>
    <row r="3" spans="1:14" s="60" customFormat="1" ht="28.5">
      <c r="B3" s="207" t="s">
        <v>81</v>
      </c>
      <c r="C3" s="137">
        <v>45039</v>
      </c>
      <c r="D3" s="20"/>
      <c r="F3" s="138"/>
      <c r="H3" s="136"/>
      <c r="I3" s="136" t="s">
        <v>119</v>
      </c>
      <c r="J3" s="136">
        <v>3</v>
      </c>
    </row>
    <row r="4" spans="1:14" s="60" customFormat="1" ht="28.5">
      <c r="B4" s="20"/>
      <c r="C4" s="20"/>
      <c r="D4" s="20"/>
      <c r="E4" s="21"/>
      <c r="F4" s="21"/>
      <c r="H4" s="136"/>
      <c r="I4" s="136" t="s">
        <v>64</v>
      </c>
      <c r="J4" s="136">
        <v>4</v>
      </c>
    </row>
    <row r="5" spans="1:14" s="139" customFormat="1" ht="21">
      <c r="B5" s="211" t="s">
        <v>75</v>
      </c>
      <c r="C5" s="140"/>
      <c r="D5" s="140"/>
      <c r="H5" s="83"/>
      <c r="I5" s="136" t="s">
        <v>120</v>
      </c>
      <c r="J5" s="83">
        <v>5</v>
      </c>
    </row>
    <row r="6" spans="1:14" ht="18.75">
      <c r="A6" s="6"/>
      <c r="B6" s="6"/>
      <c r="C6" s="6"/>
      <c r="D6" s="6"/>
      <c r="E6" s="6"/>
      <c r="F6" s="6"/>
      <c r="G6" s="6"/>
      <c r="H6" s="6"/>
      <c r="I6" s="83">
        <v>26</v>
      </c>
      <c r="J6" s="83">
        <v>6</v>
      </c>
    </row>
    <row r="7" spans="1:14" ht="19.5" thickBot="1">
      <c r="B7" s="141"/>
      <c r="C7" s="141"/>
      <c r="D7" s="141"/>
      <c r="E7" s="6"/>
      <c r="F7" s="6"/>
      <c r="G7" s="6"/>
    </row>
    <row r="8" spans="1:14" s="10" customFormat="1" ht="30" customHeight="1" thickBot="1">
      <c r="B8" s="142" t="s">
        <v>6</v>
      </c>
      <c r="C8" s="143"/>
      <c r="E8" s="144">
        <f>SUM(Teilnehmer[Startgebühr])+Juryabfrage!A21</f>
        <v>0</v>
      </c>
    </row>
    <row r="9" spans="1:14" s="10" customFormat="1" ht="30" customHeight="1">
      <c r="B9" s="141"/>
      <c r="C9" s="141"/>
      <c r="D9" s="141"/>
      <c r="E9" s="145"/>
    </row>
    <row r="10" spans="1:14" s="146" customFormat="1" ht="30" customHeight="1" thickBot="1">
      <c r="B10" s="147" t="s">
        <v>8</v>
      </c>
      <c r="C10" s="147"/>
      <c r="D10" s="147"/>
      <c r="E10" s="148"/>
      <c r="F10" s="148"/>
      <c r="G10" s="148"/>
    </row>
    <row r="11" spans="1:14" s="154" customFormat="1" ht="19.899999999999999" customHeight="1">
      <c r="A11" s="149"/>
      <c r="B11" s="150" t="s">
        <v>55</v>
      </c>
      <c r="C11" s="151"/>
      <c r="D11" s="151"/>
      <c r="E11" s="152"/>
      <c r="F11" s="153"/>
      <c r="G11" s="153"/>
    </row>
    <row r="12" spans="1:14" s="154" customFormat="1" ht="19.899999999999999" customHeight="1">
      <c r="A12" s="149"/>
      <c r="B12" s="155" t="s">
        <v>70</v>
      </c>
      <c r="C12" s="156"/>
      <c r="D12" s="156"/>
      <c r="E12" s="152"/>
      <c r="F12" s="153"/>
      <c r="G12" s="153"/>
    </row>
    <row r="13" spans="1:14" s="154" customFormat="1" ht="19.899999999999999" customHeight="1">
      <c r="A13" s="149"/>
      <c r="B13" s="157" t="s">
        <v>54</v>
      </c>
      <c r="C13" s="157"/>
      <c r="D13" s="157"/>
      <c r="E13" s="158"/>
    </row>
    <row r="14" spans="1:14" s="154" customFormat="1" ht="19.899999999999999" customHeight="1" thickBot="1">
      <c r="A14" s="149"/>
      <c r="B14" s="159" t="s">
        <v>82</v>
      </c>
      <c r="C14" s="159"/>
      <c r="D14" s="159"/>
      <c r="E14" s="158"/>
    </row>
    <row r="15" spans="1:14" ht="19.899999999999999" customHeight="1">
      <c r="A15" s="291"/>
      <c r="B15" s="287"/>
      <c r="C15" s="287"/>
      <c r="D15" s="287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1:14" ht="15.75">
      <c r="A16" s="299"/>
      <c r="B16" s="300"/>
      <c r="C16" s="300"/>
      <c r="D16" s="300"/>
      <c r="E16" s="299"/>
      <c r="F16" s="299"/>
      <c r="G16" s="291"/>
      <c r="H16" s="291"/>
      <c r="I16" s="291"/>
      <c r="J16" s="291"/>
      <c r="K16" s="291"/>
      <c r="L16" s="291"/>
      <c r="M16" s="291"/>
      <c r="N16" s="291"/>
    </row>
    <row r="17" spans="1:14" ht="21">
      <c r="A17" s="299"/>
      <c r="B17" s="301"/>
      <c r="C17" s="301"/>
      <c r="D17" s="301"/>
      <c r="E17" s="299"/>
      <c r="F17" s="299"/>
      <c r="G17" s="291"/>
      <c r="H17" s="291"/>
      <c r="I17" s="291"/>
      <c r="J17" s="291"/>
      <c r="K17" s="291"/>
      <c r="L17" s="291"/>
      <c r="M17" s="291"/>
      <c r="N17" s="291"/>
    </row>
    <row r="18" spans="1:14" s="10" customFormat="1" ht="15.75">
      <c r="A18" s="307"/>
      <c r="B18" s="308" t="s">
        <v>56</v>
      </c>
      <c r="C18" s="309"/>
      <c r="D18" s="310">
        <f>IF(H1=0,0,IF(H1&lt;5,J1,IF(H1&lt;11,J2,IF(H1&lt;16,J3,IF(H1&lt;21,J4,IF(H1&lt;26,J5,J6))))))</f>
        <v>0</v>
      </c>
      <c r="E18" s="307"/>
      <c r="F18" s="302"/>
      <c r="G18" s="286"/>
      <c r="H18" s="286"/>
      <c r="I18" s="286"/>
      <c r="J18" s="286"/>
      <c r="K18" s="286"/>
      <c r="L18" s="286"/>
      <c r="M18" s="286"/>
      <c r="N18" s="286"/>
    </row>
    <row r="19" spans="1:14" s="10" customFormat="1" ht="19.899999999999999" customHeight="1">
      <c r="A19" s="307"/>
      <c r="B19" s="311" t="s">
        <v>7</v>
      </c>
      <c r="C19" s="307"/>
      <c r="D19" s="307"/>
      <c r="E19" s="307"/>
      <c r="F19" s="302"/>
      <c r="G19" s="286"/>
      <c r="H19" s="286"/>
      <c r="I19" s="286"/>
      <c r="J19" s="286"/>
      <c r="K19" s="286"/>
      <c r="L19" s="286"/>
      <c r="M19" s="286"/>
      <c r="N19" s="286"/>
    </row>
    <row r="20" spans="1:14" s="10" customFormat="1" ht="11.25" customHeight="1">
      <c r="A20" s="307"/>
      <c r="B20" s="312"/>
      <c r="C20" s="307"/>
      <c r="D20" s="307"/>
      <c r="E20" s="307"/>
      <c r="F20" s="302"/>
      <c r="G20" s="286"/>
      <c r="H20" s="286"/>
      <c r="I20" s="286"/>
      <c r="J20" s="286"/>
      <c r="K20" s="286"/>
      <c r="L20" s="286"/>
      <c r="M20" s="286"/>
      <c r="N20" s="286"/>
    </row>
    <row r="21" spans="1:14" ht="16.899999999999999" customHeight="1">
      <c r="A21" s="313" t="s">
        <v>57</v>
      </c>
      <c r="B21" s="326"/>
      <c r="C21" s="326"/>
      <c r="D21" s="326"/>
      <c r="E21" s="314"/>
      <c r="F21" s="303"/>
      <c r="G21" s="287"/>
      <c r="H21" s="291"/>
      <c r="I21" s="291"/>
      <c r="J21" s="291"/>
      <c r="K21" s="291"/>
      <c r="L21" s="291"/>
      <c r="M21" s="291"/>
      <c r="N21" s="291"/>
    </row>
    <row r="22" spans="1:14" ht="16.899999999999999" customHeight="1">
      <c r="A22" s="313" t="s">
        <v>58</v>
      </c>
      <c r="B22" s="326"/>
      <c r="C22" s="326"/>
      <c r="D22" s="326"/>
      <c r="E22" s="315"/>
      <c r="F22" s="304"/>
      <c r="G22" s="288"/>
      <c r="H22" s="291"/>
      <c r="I22" s="291"/>
      <c r="J22" s="291"/>
      <c r="K22" s="291"/>
      <c r="L22" s="291"/>
      <c r="M22" s="291"/>
      <c r="N22" s="291"/>
    </row>
    <row r="23" spans="1:14" ht="16.899999999999999" customHeight="1">
      <c r="A23" s="313" t="s">
        <v>59</v>
      </c>
      <c r="B23" s="326"/>
      <c r="C23" s="326"/>
      <c r="D23" s="326"/>
      <c r="E23" s="315"/>
      <c r="F23" s="304"/>
      <c r="G23" s="288"/>
      <c r="H23" s="291"/>
      <c r="I23" s="291"/>
      <c r="J23" s="291"/>
      <c r="K23" s="291"/>
      <c r="L23" s="291"/>
      <c r="M23" s="291"/>
      <c r="N23" s="291"/>
    </row>
    <row r="24" spans="1:14" ht="16.899999999999999" customHeight="1">
      <c r="A24" s="313" t="s">
        <v>60</v>
      </c>
      <c r="B24" s="326"/>
      <c r="C24" s="326"/>
      <c r="D24" s="326"/>
      <c r="E24" s="315"/>
      <c r="F24" s="304"/>
      <c r="G24" s="288"/>
      <c r="H24" s="291"/>
      <c r="I24" s="291"/>
      <c r="J24" s="291"/>
      <c r="K24" s="291"/>
      <c r="L24" s="291"/>
      <c r="M24" s="291"/>
      <c r="N24" s="291"/>
    </row>
    <row r="25" spans="1:14" ht="16.899999999999999" customHeight="1">
      <c r="A25" s="313" t="s">
        <v>61</v>
      </c>
      <c r="B25" s="326"/>
      <c r="C25" s="326"/>
      <c r="D25" s="326"/>
      <c r="E25" s="315"/>
      <c r="F25" s="304"/>
      <c r="G25" s="288"/>
      <c r="H25" s="291"/>
      <c r="I25" s="291"/>
      <c r="J25" s="291"/>
      <c r="K25" s="291"/>
      <c r="L25" s="291"/>
      <c r="M25" s="291"/>
      <c r="N25" s="291"/>
    </row>
    <row r="26" spans="1:14" ht="16.899999999999999" customHeight="1">
      <c r="A26" s="316"/>
      <c r="B26" s="315"/>
      <c r="C26" s="315"/>
      <c r="D26" s="315"/>
      <c r="E26" s="315"/>
      <c r="F26" s="304"/>
      <c r="G26" s="288"/>
      <c r="H26" s="291"/>
      <c r="I26" s="291"/>
      <c r="J26" s="291"/>
      <c r="K26" s="291"/>
      <c r="L26" s="291"/>
      <c r="M26" s="291"/>
      <c r="N26" s="291"/>
    </row>
    <row r="27" spans="1:14" ht="18.75">
      <c r="A27" s="299"/>
      <c r="B27" s="305"/>
      <c r="C27" s="305"/>
      <c r="D27" s="305"/>
      <c r="E27" s="306"/>
      <c r="F27" s="306"/>
      <c r="G27" s="289"/>
      <c r="H27" s="291"/>
      <c r="I27" s="291"/>
      <c r="J27" s="291"/>
      <c r="K27" s="291"/>
      <c r="L27" s="291"/>
      <c r="M27" s="291"/>
      <c r="N27" s="291"/>
    </row>
    <row r="28" spans="1:14" ht="18.75">
      <c r="A28" s="291"/>
      <c r="B28" s="290"/>
      <c r="C28" s="290"/>
      <c r="D28" s="287"/>
      <c r="E28" s="287"/>
      <c r="F28" s="287"/>
      <c r="G28" s="287"/>
      <c r="H28" s="291"/>
      <c r="I28" s="291"/>
      <c r="J28" s="291"/>
      <c r="K28" s="291"/>
      <c r="L28" s="291"/>
      <c r="M28" s="291"/>
      <c r="N28" s="291"/>
    </row>
    <row r="29" spans="1:14" ht="18.75">
      <c r="A29" s="291"/>
      <c r="B29" s="287"/>
      <c r="C29" s="287"/>
      <c r="D29" s="287"/>
      <c r="E29" s="291"/>
      <c r="F29" s="291"/>
      <c r="G29" s="291"/>
      <c r="H29" s="291"/>
      <c r="I29" s="291"/>
      <c r="J29" s="291"/>
      <c r="K29" s="291"/>
      <c r="L29" s="291"/>
      <c r="M29" s="291"/>
      <c r="N29" s="291"/>
    </row>
    <row r="30" spans="1:14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</row>
    <row r="31" spans="1:14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</row>
    <row r="32" spans="1:14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80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  <row r="34" spans="1:80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</row>
    <row r="35" spans="1:80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1:80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1:80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</row>
    <row r="38" spans="1:80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  <row r="40" spans="1:80" ht="18.95" customHeight="1">
      <c r="H40" s="160"/>
    </row>
    <row r="41" spans="1:80" ht="19.899999999999999" customHeight="1"/>
    <row r="42" spans="1:80" ht="15.95" customHeight="1"/>
    <row r="44" spans="1:80" ht="106.15" customHeight="1"/>
    <row r="45" spans="1:80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80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0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80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pans="1:80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pans="1:80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pans="1:80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pans="1:80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pans="1:80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pans="1:80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pans="1:80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pans="1:80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pans="1:80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pans="1:80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pans="1:80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pans="1:80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pans="1:80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pans="1:80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0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pans="1:80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pans="1:80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</row>
    <row r="85" spans="1:80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</row>
    <row r="86" spans="1:80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</row>
    <row r="87" spans="1:80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</row>
    <row r="88" spans="1:80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</row>
    <row r="89" spans="1:80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</row>
    <row r="90" spans="1:80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</row>
    <row r="91" spans="1:80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</row>
    <row r="92" spans="1:80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</row>
    <row r="93" spans="1:80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</row>
    <row r="94" spans="1:80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</row>
    <row r="95" spans="1:80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</row>
    <row r="96" spans="1:80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</row>
    <row r="97" spans="1:80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</row>
    <row r="98" spans="1:80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</row>
    <row r="99" spans="1:80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</row>
    <row r="100" spans="1:80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</row>
    <row r="101" spans="1:80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</row>
    <row r="102" spans="1:80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</row>
    <row r="103" spans="1:80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</row>
    <row r="104" spans="1:80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</row>
    <row r="105" spans="1:80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</row>
    <row r="106" spans="1:80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</row>
    <row r="107" spans="1:80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</row>
    <row r="108" spans="1:80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</row>
    <row r="109" spans="1:80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</row>
    <row r="110" spans="1:80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</row>
    <row r="111" spans="1:80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</row>
    <row r="112" spans="1:80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</row>
    <row r="113" spans="1:80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</row>
    <row r="114" spans="1:80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</row>
    <row r="115" spans="1:80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</row>
    <row r="116" spans="1:80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</row>
    <row r="117" spans="1:80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</row>
    <row r="118" spans="1:80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</row>
    <row r="119" spans="1:80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</row>
    <row r="120" spans="1:80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</row>
    <row r="121" spans="1:80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</row>
    <row r="122" spans="1:80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</row>
    <row r="123" spans="1:80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</row>
    <row r="124" spans="1:80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</row>
    <row r="125" spans="1:80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</row>
    <row r="126" spans="1:80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</row>
    <row r="127" spans="1:80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</row>
    <row r="128" spans="1:80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</row>
    <row r="129" spans="1:80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</row>
    <row r="130" spans="1:80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</row>
    <row r="131" spans="1:80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</row>
    <row r="132" spans="1:80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</row>
    <row r="133" spans="1:80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</row>
    <row r="134" spans="1:80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</row>
    <row r="135" spans="1:80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</row>
    <row r="136" spans="1:80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</row>
    <row r="137" spans="1:80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</row>
    <row r="138" spans="1:80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</row>
    <row r="139" spans="1:80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</row>
    <row r="140" spans="1:80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</row>
    <row r="141" spans="1:80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</row>
    <row r="142" spans="1:80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</row>
    <row r="144" spans="1:80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</row>
    <row r="145" spans="1:80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</row>
    <row r="146" spans="1:80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</row>
    <row r="147" spans="1:80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</row>
    <row r="148" spans="1:80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</row>
    <row r="149" spans="1:80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</row>
    <row r="150" spans="1:80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</row>
    <row r="151" spans="1:80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</row>
    <row r="152" spans="1:80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</row>
    <row r="153" spans="1:80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</row>
    <row r="154" spans="1:80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</row>
    <row r="155" spans="1:80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</row>
    <row r="156" spans="1:80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</row>
    <row r="157" spans="1:80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</row>
    <row r="158" spans="1:80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</row>
    <row r="159" spans="1:80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</row>
    <row r="160" spans="1:80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</row>
    <row r="161" spans="1:80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</row>
    <row r="162" spans="1:80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</row>
    <row r="163" spans="1:80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</row>
    <row r="164" spans="1:80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</row>
    <row r="165" spans="1:80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</row>
    <row r="166" spans="1:80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</row>
    <row r="167" spans="1:80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</row>
    <row r="168" spans="1:80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</row>
    <row r="169" spans="1:80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</row>
    <row r="170" spans="1:80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</row>
    <row r="171" spans="1:80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</row>
    <row r="172" spans="1:80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</row>
  </sheetData>
  <sheetProtection algorithmName="SHA-512" hashValue="u7mAUwVTTKhs/szEJxmrx+OKlCY1LJ0PKkN26OY6174MKm1YtZCwrMZ4qWx7Ekb24lRO2sB/e/ZcN33nTn1Mjg==" saltValue="mZRel7A9dTWM3aowTGsqSw==" spinCount="100000" sheet="1" objects="1" selectLockedCells="1"/>
  <mergeCells count="5">
    <mergeCell ref="B21:D21"/>
    <mergeCell ref="B22:D22"/>
    <mergeCell ref="B23:D23"/>
    <mergeCell ref="B24:D24"/>
    <mergeCell ref="B25:D25"/>
  </mergeCells>
  <hyperlinks>
    <hyperlink ref="B5" r:id="rId1" xr:uid="{00000000-0004-0000-02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B6FF9F"/>
  </sheetPr>
  <dimension ref="A1:M35"/>
  <sheetViews>
    <sheetView showGridLines="0" showRowColHeaders="0" showRuler="0" zoomScaleNormal="100" workbookViewId="0">
      <selection activeCell="L4" sqref="L4"/>
    </sheetView>
  </sheetViews>
  <sheetFormatPr baseColWidth="10" defaultColWidth="11.5703125" defaultRowHeight="15"/>
  <cols>
    <col min="1" max="1" width="6.7109375" style="7" customWidth="1"/>
    <col min="2" max="2" width="10.7109375" style="7" customWidth="1"/>
    <col min="3" max="3" width="28.7109375" style="7" customWidth="1"/>
    <col min="4" max="4" width="18.7109375" style="7" customWidth="1"/>
    <col min="5" max="5" width="8.7109375" style="7" customWidth="1"/>
    <col min="6" max="6" width="40.7109375" style="7" customWidth="1"/>
    <col min="7" max="8" width="11.5703125" style="7" hidden="1" customWidth="1"/>
    <col min="9" max="9" width="14.140625" style="7" customWidth="1"/>
    <col min="10" max="16384" width="11.5703125" style="7"/>
  </cols>
  <sheetData>
    <row r="1" spans="1:13" ht="40.15" customHeight="1" thickBot="1">
      <c r="A1" s="112" t="s">
        <v>74</v>
      </c>
      <c r="C1" s="8"/>
      <c r="D1" s="8"/>
      <c r="E1" s="8"/>
      <c r="F1" s="13"/>
      <c r="G1" s="8"/>
      <c r="H1" s="8"/>
      <c r="I1" s="8"/>
      <c r="J1" s="8"/>
      <c r="K1" s="8"/>
    </row>
    <row r="2" spans="1:13" ht="19.899999999999999" customHeight="1" thickBot="1">
      <c r="A2" s="115" t="s">
        <v>41</v>
      </c>
      <c r="C2" s="6"/>
      <c r="D2" s="192">
        <f>Meldung!V1</f>
        <v>45038</v>
      </c>
      <c r="E2" s="327">
        <f>Deckblatt!C3</f>
        <v>45039</v>
      </c>
      <c r="F2" s="327"/>
      <c r="G2" s="190" t="s">
        <v>2</v>
      </c>
      <c r="H2" s="47"/>
      <c r="I2" s="9"/>
      <c r="J2" s="6"/>
      <c r="K2" s="9"/>
    </row>
    <row r="3" spans="1:13" ht="15" customHeight="1">
      <c r="A3" s="10"/>
      <c r="B3" s="12"/>
      <c r="C3" s="12"/>
      <c r="D3" s="10"/>
      <c r="E3" s="10"/>
      <c r="F3" s="10"/>
      <c r="G3" s="10"/>
      <c r="M3" s="1"/>
    </row>
    <row r="4" spans="1:13" ht="49.9" customHeight="1">
      <c r="A4" s="74" t="s">
        <v>20</v>
      </c>
      <c r="B4" s="77" t="s">
        <v>53</v>
      </c>
      <c r="C4" s="74" t="s">
        <v>3</v>
      </c>
      <c r="D4" s="74" t="s">
        <v>4</v>
      </c>
      <c r="E4" s="78" t="s">
        <v>44</v>
      </c>
      <c r="F4" s="117" t="s">
        <v>12</v>
      </c>
      <c r="G4" s="10"/>
      <c r="M4" s="1"/>
    </row>
    <row r="5" spans="1:13" ht="15.75">
      <c r="A5" s="118">
        <v>1</v>
      </c>
      <c r="B5" s="185" t="str">
        <f>IFERROR(INDEX(Teilnehmer[LfNr],_xlfn.AGGREGATE(15,6,ROW(Teilnehmer[LfNr])/((Teilnehmer[Geschlecht]=$G$2)*(Teilnehmer[Einzelkür]="ja")),ROW()-4)-1,1),"")</f>
        <v/>
      </c>
      <c r="C5" s="119" t="str">
        <f>IFERROR(VLOOKUP($B5,Teilnehmer[],2,FALSE),"")</f>
        <v/>
      </c>
      <c r="D5" s="119" t="str">
        <f>IFERROR(VLOOKUP($B5,Teilnehmer[],3,FALSE),"")</f>
        <v/>
      </c>
      <c r="E5" s="120" t="str">
        <f>IFERROR(VLOOKUP($B5,Teilnehmer[],5,FALSE),"")</f>
        <v/>
      </c>
      <c r="F5" s="188" t="str">
        <f>IFERROR(VLOOKUP($B5,Teilnehmer[],8,FALSE),"")</f>
        <v/>
      </c>
      <c r="G5" s="10"/>
      <c r="M5" s="1"/>
    </row>
    <row r="6" spans="1:13">
      <c r="A6" s="121">
        <f>A5+1</f>
        <v>2</v>
      </c>
      <c r="B6" s="185" t="str">
        <f>IFERROR(INDEX(Teilnehmer[LfNr],_xlfn.AGGREGATE(15,6,ROW(Teilnehmer[LfNr])/((Teilnehmer[Geschlecht]=$G$2)*(Teilnehmer[Einzelkür]="ja")),ROW()-4)-1,1),"")</f>
        <v/>
      </c>
      <c r="C6" s="122" t="str">
        <f>IFERROR(VLOOKUP($B6,Teilnehmer[],2,FALSE),"")</f>
        <v/>
      </c>
      <c r="D6" s="123" t="str">
        <f>IFERROR(VLOOKUP($B6,Teilnehmer[],3,FALSE),"")</f>
        <v/>
      </c>
      <c r="E6" s="124" t="str">
        <f>IFERROR(VLOOKUP($B6,Teilnehmer[],5,FALSE),"")</f>
        <v/>
      </c>
      <c r="F6" s="188" t="str">
        <f>IFERROR(VLOOKUP($B6,Teilnehmer[],8,FALSE),"")</f>
        <v/>
      </c>
    </row>
    <row r="7" spans="1:13">
      <c r="A7" s="121">
        <f t="shared" ref="A7:A35" si="0">A6+1</f>
        <v>3</v>
      </c>
      <c r="B7" s="185" t="str">
        <f>IFERROR(INDEX(Teilnehmer[LfNr],_xlfn.AGGREGATE(15,6,ROW(Teilnehmer[LfNr])/((Teilnehmer[Geschlecht]=$G$2)*(Teilnehmer[Einzelkür]="ja")),ROW()-4)-1,1),"")</f>
        <v/>
      </c>
      <c r="C7" s="122" t="str">
        <f>IFERROR(VLOOKUP($B7,Teilnehmer[],2,FALSE),"")</f>
        <v/>
      </c>
      <c r="D7" s="123" t="str">
        <f>IFERROR(VLOOKUP($B7,Teilnehmer[],3,FALSE),"")</f>
        <v/>
      </c>
      <c r="E7" s="124" t="str">
        <f>IFERROR(VLOOKUP($B7,Teilnehmer[],5,FALSE),"")</f>
        <v/>
      </c>
      <c r="F7" s="188" t="str">
        <f>IFERROR(VLOOKUP($B7,Teilnehmer[],8,FALSE),"")</f>
        <v/>
      </c>
    </row>
    <row r="8" spans="1:13">
      <c r="A8" s="121">
        <f t="shared" si="0"/>
        <v>4</v>
      </c>
      <c r="B8" s="185" t="str">
        <f>IFERROR(INDEX(Teilnehmer[LfNr],_xlfn.AGGREGATE(15,6,ROW(Teilnehmer[LfNr])/((Teilnehmer[Geschlecht]=$G$2)*(Teilnehmer[Einzelkür]="ja")),ROW()-4)-1,1),"")</f>
        <v/>
      </c>
      <c r="C8" s="122" t="str">
        <f>IFERROR(VLOOKUP($B8,Teilnehmer[],2,FALSE),"")</f>
        <v/>
      </c>
      <c r="D8" s="123" t="str">
        <f>IFERROR(VLOOKUP($B8,Teilnehmer[],3,FALSE),"")</f>
        <v/>
      </c>
      <c r="E8" s="124" t="str">
        <f>IFERROR(VLOOKUP($B8,Teilnehmer[],5,FALSE),"")</f>
        <v/>
      </c>
      <c r="F8" s="188" t="str">
        <f>IFERROR(VLOOKUP($B8,Teilnehmer[],8,FALSE),"")</f>
        <v/>
      </c>
    </row>
    <row r="9" spans="1:13">
      <c r="A9" s="121">
        <f t="shared" si="0"/>
        <v>5</v>
      </c>
      <c r="B9" s="186" t="str">
        <f>IFERROR(INDEX(Teilnehmer[LfNr],_xlfn.AGGREGATE(15,6,ROW(Teilnehmer[LfNr])/((Teilnehmer[Geschlecht]=$G$2)*(Teilnehmer[Einzelkür]="ja")),ROW()-4)-1,1),"")</f>
        <v/>
      </c>
      <c r="C9" s="125" t="str">
        <f>IFERROR(VLOOKUP($B9,Teilnehmer[],2,FALSE),"")</f>
        <v/>
      </c>
      <c r="D9" s="126" t="str">
        <f>IFERROR(VLOOKUP($B9,Teilnehmer[],3,FALSE),"")</f>
        <v/>
      </c>
      <c r="E9" s="127" t="str">
        <f>IFERROR(VLOOKUP($B9,Teilnehmer[],5,FALSE),"")</f>
        <v/>
      </c>
      <c r="F9" s="188" t="str">
        <f>IFERROR(VLOOKUP($B9,Teilnehmer[],8,FALSE),"")</f>
        <v/>
      </c>
    </row>
    <row r="10" spans="1:13">
      <c r="A10" s="121">
        <f t="shared" si="0"/>
        <v>6</v>
      </c>
      <c r="B10" s="186" t="str">
        <f>IFERROR(INDEX(Teilnehmer[LfNr],_xlfn.AGGREGATE(15,6,ROW(Teilnehmer[LfNr])/((Teilnehmer[Geschlecht]=$G$2)*(Teilnehmer[Einzelkür]="ja")),ROW()-4)-1,1),"")</f>
        <v/>
      </c>
      <c r="C10" s="125" t="str">
        <f>IFERROR(VLOOKUP($B10,Teilnehmer[],2,FALSE),"")</f>
        <v/>
      </c>
      <c r="D10" s="126" t="str">
        <f>IFERROR(VLOOKUP($B10,Teilnehmer[],3,FALSE),"")</f>
        <v/>
      </c>
      <c r="E10" s="127" t="str">
        <f>IFERROR(VLOOKUP($B10,Teilnehmer[],5,FALSE),"")</f>
        <v/>
      </c>
      <c r="F10" s="188" t="str">
        <f>IFERROR(VLOOKUP($B10,Teilnehmer[],8,FALSE),"")</f>
        <v/>
      </c>
    </row>
    <row r="11" spans="1:13">
      <c r="A11" s="121">
        <f t="shared" si="0"/>
        <v>7</v>
      </c>
      <c r="B11" s="186" t="str">
        <f>IFERROR(INDEX(Teilnehmer[LfNr],_xlfn.AGGREGATE(15,6,ROW(Teilnehmer[LfNr])/((Teilnehmer[Geschlecht]=$G$2)*(Teilnehmer[Einzelkür]="ja")),ROW()-4)-1,1),"")</f>
        <v/>
      </c>
      <c r="C11" s="125" t="str">
        <f>IFERROR(VLOOKUP($B11,Teilnehmer[],2,FALSE),"")</f>
        <v/>
      </c>
      <c r="D11" s="126" t="str">
        <f>IFERROR(VLOOKUP($B11,Teilnehmer[],3,FALSE),"")</f>
        <v/>
      </c>
      <c r="E11" s="127" t="str">
        <f>IFERROR(VLOOKUP($B11,Teilnehmer[],5,FALSE),"")</f>
        <v/>
      </c>
      <c r="F11" s="188" t="str">
        <f>IFERROR(VLOOKUP($B11,Teilnehmer[],8,FALSE),"")</f>
        <v/>
      </c>
    </row>
    <row r="12" spans="1:13">
      <c r="A12" s="121">
        <f t="shared" si="0"/>
        <v>8</v>
      </c>
      <c r="B12" s="186" t="str">
        <f>IFERROR(INDEX(Teilnehmer[LfNr],_xlfn.AGGREGATE(15,6,ROW(Teilnehmer[LfNr])/((Teilnehmer[Geschlecht]=$G$2)*(Teilnehmer[Einzelkür]="ja")),ROW()-4)-1,1),"")</f>
        <v/>
      </c>
      <c r="C12" s="125" t="str">
        <f>IFERROR(VLOOKUP($B12,Teilnehmer[],2,FALSE),"")</f>
        <v/>
      </c>
      <c r="D12" s="126" t="str">
        <f>IFERROR(VLOOKUP($B12,Teilnehmer[],3,FALSE),"")</f>
        <v/>
      </c>
      <c r="E12" s="127" t="str">
        <f>IFERROR(VLOOKUP($B12,Teilnehmer[],5,FALSE),"")</f>
        <v/>
      </c>
      <c r="F12" s="188" t="str">
        <f>IFERROR(VLOOKUP($B12,Teilnehmer[],8,FALSE),"")</f>
        <v/>
      </c>
    </row>
    <row r="13" spans="1:13">
      <c r="A13" s="121">
        <f t="shared" si="0"/>
        <v>9</v>
      </c>
      <c r="B13" s="186" t="str">
        <f>IFERROR(INDEX(Teilnehmer[LfNr],_xlfn.AGGREGATE(15,6,ROW(Teilnehmer[LfNr])/((Teilnehmer[Geschlecht]=$G$2)*(Teilnehmer[Einzelkür]="ja")),ROW()-4)-1,1),"")</f>
        <v/>
      </c>
      <c r="C13" s="125" t="str">
        <f>IFERROR(VLOOKUP($B13,Teilnehmer[],2,FALSE),"")</f>
        <v/>
      </c>
      <c r="D13" s="126" t="str">
        <f>IFERROR(VLOOKUP($B13,Teilnehmer[],3,FALSE),"")</f>
        <v/>
      </c>
      <c r="E13" s="127" t="str">
        <f>IFERROR(VLOOKUP($B13,Teilnehmer[],5,FALSE),"")</f>
        <v/>
      </c>
      <c r="F13" s="188" t="str">
        <f>IFERROR(VLOOKUP($B13,Teilnehmer[],8,FALSE),"")</f>
        <v/>
      </c>
    </row>
    <row r="14" spans="1:13">
      <c r="A14" s="121">
        <f t="shared" si="0"/>
        <v>10</v>
      </c>
      <c r="B14" s="186" t="str">
        <f>IFERROR(INDEX(Teilnehmer[LfNr],_xlfn.AGGREGATE(15,6,ROW(Teilnehmer[LfNr])/((Teilnehmer[Geschlecht]=$G$2)*(Teilnehmer[Einzelkür]="ja")),ROW()-4)-1,1),"")</f>
        <v/>
      </c>
      <c r="C14" s="125" t="str">
        <f>IFERROR(VLOOKUP($B14,Teilnehmer[],2,FALSE),"")</f>
        <v/>
      </c>
      <c r="D14" s="126" t="str">
        <f>IFERROR(VLOOKUP($B14,Teilnehmer[],3,FALSE),"")</f>
        <v/>
      </c>
      <c r="E14" s="127" t="str">
        <f>IFERROR(VLOOKUP($B14,Teilnehmer[],5,FALSE),"")</f>
        <v/>
      </c>
      <c r="F14" s="188" t="str">
        <f>IFERROR(VLOOKUP($B14,Teilnehmer[],8,FALSE),"")</f>
        <v/>
      </c>
    </row>
    <row r="15" spans="1:13">
      <c r="A15" s="121">
        <f t="shared" si="0"/>
        <v>11</v>
      </c>
      <c r="B15" s="186" t="str">
        <f>IFERROR(INDEX(Teilnehmer[LfNr],_xlfn.AGGREGATE(15,6,ROW(Teilnehmer[LfNr])/((Teilnehmer[Geschlecht]=$G$2)*(Teilnehmer[Einzelkür]="ja")),ROW()-4)-1,1),"")</f>
        <v/>
      </c>
      <c r="C15" s="125" t="str">
        <f>IFERROR(VLOOKUP($B15,Teilnehmer[],2,FALSE),"")</f>
        <v/>
      </c>
      <c r="D15" s="126" t="str">
        <f>IFERROR(VLOOKUP($B15,Teilnehmer[],3,FALSE),"")</f>
        <v/>
      </c>
      <c r="E15" s="127" t="str">
        <f>IFERROR(VLOOKUP($B15,Teilnehmer[],5,FALSE),"")</f>
        <v/>
      </c>
      <c r="F15" s="188" t="str">
        <f>IFERROR(VLOOKUP($B15,Teilnehmer[],8,FALSE),"")</f>
        <v/>
      </c>
    </row>
    <row r="16" spans="1:13">
      <c r="A16" s="121">
        <f t="shared" si="0"/>
        <v>12</v>
      </c>
      <c r="B16" s="186" t="str">
        <f>IFERROR(INDEX(Teilnehmer[LfNr],_xlfn.AGGREGATE(15,6,ROW(Teilnehmer[LfNr])/((Teilnehmer[Geschlecht]=$G$2)*(Teilnehmer[Einzelkür]="ja")),ROW()-4)-1,1),"")</f>
        <v/>
      </c>
      <c r="C16" s="125" t="str">
        <f>IFERROR(VLOOKUP($B16,Teilnehmer[],2,FALSE),"")</f>
        <v/>
      </c>
      <c r="D16" s="126" t="str">
        <f>IFERROR(VLOOKUP($B16,Teilnehmer[],3,FALSE),"")</f>
        <v/>
      </c>
      <c r="E16" s="127" t="str">
        <f>IFERROR(VLOOKUP($B16,Teilnehmer[],5,FALSE),"")</f>
        <v/>
      </c>
      <c r="F16" s="188" t="str">
        <f>IFERROR(VLOOKUP($B16,Teilnehmer[],8,FALSE),"")</f>
        <v/>
      </c>
    </row>
    <row r="17" spans="1:6">
      <c r="A17" s="121">
        <f t="shared" si="0"/>
        <v>13</v>
      </c>
      <c r="B17" s="186" t="str">
        <f>IFERROR(INDEX(Teilnehmer[LfNr],_xlfn.AGGREGATE(15,6,ROW(Teilnehmer[LfNr])/((Teilnehmer[Geschlecht]=$G$2)*(Teilnehmer[Einzelkür]="ja")),ROW()-4)-1,1),"")</f>
        <v/>
      </c>
      <c r="C17" s="125" t="str">
        <f>IFERROR(VLOOKUP($B17,Teilnehmer[],2,FALSE),"")</f>
        <v/>
      </c>
      <c r="D17" s="126" t="str">
        <f>IFERROR(VLOOKUP($B17,Teilnehmer[],3,FALSE),"")</f>
        <v/>
      </c>
      <c r="E17" s="127" t="str">
        <f>IFERROR(VLOOKUP($B17,Teilnehmer[],5,FALSE),"")</f>
        <v/>
      </c>
      <c r="F17" s="188" t="str">
        <f>IFERROR(VLOOKUP($B17,Teilnehmer[],8,FALSE),"")</f>
        <v/>
      </c>
    </row>
    <row r="18" spans="1:6">
      <c r="A18" s="121">
        <f t="shared" si="0"/>
        <v>14</v>
      </c>
      <c r="B18" s="186" t="str">
        <f>IFERROR(INDEX(Teilnehmer[LfNr],_xlfn.AGGREGATE(15,6,ROW(Teilnehmer[LfNr])/((Teilnehmer[Geschlecht]=$G$2)*(Teilnehmer[Einzelkür]="ja")),ROW()-4)-1,1),"")</f>
        <v/>
      </c>
      <c r="C18" s="125" t="str">
        <f>IFERROR(VLOOKUP($B18,Teilnehmer[],2,FALSE),"")</f>
        <v/>
      </c>
      <c r="D18" s="126" t="str">
        <f>IFERROR(VLOOKUP($B18,Teilnehmer[],3,FALSE),"")</f>
        <v/>
      </c>
      <c r="E18" s="127" t="str">
        <f>IFERROR(VLOOKUP($B18,Teilnehmer[],5,FALSE),"")</f>
        <v/>
      </c>
      <c r="F18" s="188" t="str">
        <f>IFERROR(VLOOKUP($B18,Teilnehmer[],8,FALSE),"")</f>
        <v/>
      </c>
    </row>
    <row r="19" spans="1:6">
      <c r="A19" s="121">
        <f t="shared" si="0"/>
        <v>15</v>
      </c>
      <c r="B19" s="186" t="str">
        <f>IFERROR(INDEX(Teilnehmer[LfNr],_xlfn.AGGREGATE(15,6,ROW(Teilnehmer[LfNr])/((Teilnehmer[Geschlecht]=$G$2)*(Teilnehmer[Einzelkür]="ja")),ROW()-4)-1,1),"")</f>
        <v/>
      </c>
      <c r="C19" s="125" t="str">
        <f>IFERROR(VLOOKUP($B19,Teilnehmer[],2,FALSE),"")</f>
        <v/>
      </c>
      <c r="D19" s="126" t="str">
        <f>IFERROR(VLOOKUP($B19,Teilnehmer[],3,FALSE),"")</f>
        <v/>
      </c>
      <c r="E19" s="127" t="str">
        <f>IFERROR(VLOOKUP($B19,Teilnehmer[],5,FALSE),"")</f>
        <v/>
      </c>
      <c r="F19" s="188" t="str">
        <f>IFERROR(VLOOKUP($B19,Teilnehmer[],8,FALSE),"")</f>
        <v/>
      </c>
    </row>
    <row r="20" spans="1:6">
      <c r="A20" s="121">
        <f t="shared" si="0"/>
        <v>16</v>
      </c>
      <c r="B20" s="186" t="str">
        <f>IFERROR(INDEX(Teilnehmer[LfNr],_xlfn.AGGREGATE(15,6,ROW(Teilnehmer[LfNr])/((Teilnehmer[Geschlecht]=$G$2)*(Teilnehmer[Einzelkür]="ja")),ROW()-4)-1,1),"")</f>
        <v/>
      </c>
      <c r="C20" s="125" t="str">
        <f>IFERROR(VLOOKUP($B20,Teilnehmer[],2,FALSE),"")</f>
        <v/>
      </c>
      <c r="D20" s="126" t="str">
        <f>IFERROR(VLOOKUP($B20,Teilnehmer[],3,FALSE),"")</f>
        <v/>
      </c>
      <c r="E20" s="127" t="str">
        <f>IFERROR(VLOOKUP($B20,Teilnehmer[],5,FALSE),"")</f>
        <v/>
      </c>
      <c r="F20" s="188" t="str">
        <f>IFERROR(VLOOKUP($B20,Teilnehmer[],8,FALSE),"")</f>
        <v/>
      </c>
    </row>
    <row r="21" spans="1:6">
      <c r="A21" s="121">
        <f t="shared" si="0"/>
        <v>17</v>
      </c>
      <c r="B21" s="186" t="str">
        <f>IFERROR(INDEX(Teilnehmer[LfNr],_xlfn.AGGREGATE(15,6,ROW(Teilnehmer[LfNr])/((Teilnehmer[Geschlecht]=$G$2)*(Teilnehmer[Einzelkür]="ja")),ROW()-4)-1,1),"")</f>
        <v/>
      </c>
      <c r="C21" s="125" t="str">
        <f>IFERROR(VLOOKUP($B21,Teilnehmer[],2,FALSE),"")</f>
        <v/>
      </c>
      <c r="D21" s="126" t="str">
        <f>IFERROR(VLOOKUP($B21,Teilnehmer[],3,FALSE),"")</f>
        <v/>
      </c>
      <c r="E21" s="127" t="str">
        <f>IFERROR(VLOOKUP($B21,Teilnehmer[],5,FALSE),"")</f>
        <v/>
      </c>
      <c r="F21" s="188" t="str">
        <f>IFERROR(VLOOKUP($B21,Teilnehmer[],8,FALSE),"")</f>
        <v/>
      </c>
    </row>
    <row r="22" spans="1:6">
      <c r="A22" s="121">
        <f t="shared" si="0"/>
        <v>18</v>
      </c>
      <c r="B22" s="186" t="str">
        <f>IFERROR(INDEX(Teilnehmer[LfNr],_xlfn.AGGREGATE(15,6,ROW(Teilnehmer[LfNr])/((Teilnehmer[Geschlecht]=$G$2)*(Teilnehmer[Einzelkür]="ja")),ROW()-4)-1,1),"")</f>
        <v/>
      </c>
      <c r="C22" s="125" t="str">
        <f>IFERROR(VLOOKUP($B22,Teilnehmer[],2,FALSE),"")</f>
        <v/>
      </c>
      <c r="D22" s="126" t="str">
        <f>IFERROR(VLOOKUP($B22,Teilnehmer[],3,FALSE),"")</f>
        <v/>
      </c>
      <c r="E22" s="127" t="str">
        <f>IFERROR(VLOOKUP($B22,Teilnehmer[],5,FALSE),"")</f>
        <v/>
      </c>
      <c r="F22" s="188" t="str">
        <f>IFERROR(VLOOKUP($B22,Teilnehmer[],8,FALSE),"")</f>
        <v/>
      </c>
    </row>
    <row r="23" spans="1:6">
      <c r="A23" s="121">
        <f t="shared" si="0"/>
        <v>19</v>
      </c>
      <c r="B23" s="186" t="str">
        <f>IFERROR(INDEX(Teilnehmer[LfNr],_xlfn.AGGREGATE(15,6,ROW(Teilnehmer[LfNr])/((Teilnehmer[Geschlecht]=$G$2)*(Teilnehmer[Einzelkür]="ja")),ROW()-4)-1,1),"")</f>
        <v/>
      </c>
      <c r="C23" s="125" t="str">
        <f>IFERROR(VLOOKUP($B23,Teilnehmer[],2,FALSE),"")</f>
        <v/>
      </c>
      <c r="D23" s="126" t="str">
        <f>IFERROR(VLOOKUP($B23,Teilnehmer[],3,FALSE),"")</f>
        <v/>
      </c>
      <c r="E23" s="127" t="str">
        <f>IFERROR(VLOOKUP($B23,Teilnehmer[],5,FALSE),"")</f>
        <v/>
      </c>
      <c r="F23" s="188" t="str">
        <f>IFERROR(VLOOKUP($B23,Teilnehmer[],8,FALSE),"")</f>
        <v/>
      </c>
    </row>
    <row r="24" spans="1:6">
      <c r="A24" s="121">
        <f t="shared" si="0"/>
        <v>20</v>
      </c>
      <c r="B24" s="186" t="str">
        <f>IFERROR(INDEX(Teilnehmer[LfNr],_xlfn.AGGREGATE(15,6,ROW(Teilnehmer[LfNr])/((Teilnehmer[Geschlecht]=$G$2)*(Teilnehmer[Einzelkür]="ja")),ROW()-4)-1,1),"")</f>
        <v/>
      </c>
      <c r="C24" s="125" t="str">
        <f>IFERROR(VLOOKUP($B24,Teilnehmer[],2,FALSE),"")</f>
        <v/>
      </c>
      <c r="D24" s="126" t="str">
        <f>IFERROR(VLOOKUP($B24,Teilnehmer[],3,FALSE),"")</f>
        <v/>
      </c>
      <c r="E24" s="127" t="str">
        <f>IFERROR(VLOOKUP($B24,Teilnehmer[],5,FALSE),"")</f>
        <v/>
      </c>
      <c r="F24" s="188" t="str">
        <f>IFERROR(VLOOKUP($B24,Teilnehmer[],8,FALSE),"")</f>
        <v/>
      </c>
    </row>
    <row r="25" spans="1:6">
      <c r="A25" s="121">
        <f t="shared" si="0"/>
        <v>21</v>
      </c>
      <c r="B25" s="186" t="str">
        <f>IFERROR(INDEX(Teilnehmer[LfNr],_xlfn.AGGREGATE(15,6,ROW(Teilnehmer[LfNr])/((Teilnehmer[Geschlecht]=$G$2)*(Teilnehmer[Einzelkür]="ja")),ROW()-4)-1,1),"")</f>
        <v/>
      </c>
      <c r="C25" s="125" t="str">
        <f>IFERROR(VLOOKUP($B25,Teilnehmer[],2,FALSE),"")</f>
        <v/>
      </c>
      <c r="D25" s="126" t="str">
        <f>IFERROR(VLOOKUP($B25,Teilnehmer[],3,FALSE),"")</f>
        <v/>
      </c>
      <c r="E25" s="127" t="str">
        <f>IFERROR(VLOOKUP($B25,Teilnehmer[],5,FALSE),"")</f>
        <v/>
      </c>
      <c r="F25" s="188" t="str">
        <f>IFERROR(VLOOKUP($B25,Teilnehmer[],8,FALSE),"")</f>
        <v/>
      </c>
    </row>
    <row r="26" spans="1:6">
      <c r="A26" s="121">
        <f t="shared" si="0"/>
        <v>22</v>
      </c>
      <c r="B26" s="187" t="str">
        <f>IFERROR(INDEX(Teilnehmer[LfNr],_xlfn.AGGREGATE(15,6,ROW(Teilnehmer[LfNr])/((Teilnehmer[Geschlecht]=$G$2)*(Teilnehmer[Einzelkür]="ja")),ROW()-4)-1,1),"")</f>
        <v/>
      </c>
      <c r="C26" s="122" t="str">
        <f>IFERROR(VLOOKUP($B26,Teilnehmer[],2,FALSE),"")</f>
        <v/>
      </c>
      <c r="D26" s="123" t="str">
        <f>IFERROR(VLOOKUP($B26,Teilnehmer[],3,FALSE),"")</f>
        <v/>
      </c>
      <c r="E26" s="124" t="str">
        <f>IFERROR(VLOOKUP($B26,Teilnehmer[],5,FALSE),"")</f>
        <v/>
      </c>
      <c r="F26" s="188" t="str">
        <f>IFERROR(VLOOKUP($B26,Teilnehmer[],8,FALSE),"")</f>
        <v/>
      </c>
    </row>
    <row r="27" spans="1:6">
      <c r="A27" s="121">
        <f t="shared" si="0"/>
        <v>23</v>
      </c>
      <c r="B27" s="186" t="str">
        <f>IFERROR(INDEX(Teilnehmer[LfNr],_xlfn.AGGREGATE(15,6,ROW(Teilnehmer[LfNr])/((Teilnehmer[Geschlecht]=$G$2)*(Teilnehmer[Einzelkür]="ja")),ROW()-4)-1,1),"")</f>
        <v/>
      </c>
      <c r="C27" s="125" t="str">
        <f>IFERROR(VLOOKUP($B27,Teilnehmer[],2,FALSE),"")</f>
        <v/>
      </c>
      <c r="D27" s="126" t="str">
        <f>IFERROR(VLOOKUP($B27,Teilnehmer[],3,FALSE),"")</f>
        <v/>
      </c>
      <c r="E27" s="127" t="str">
        <f>IFERROR(VLOOKUP($B27,Teilnehmer[],5,FALSE),"")</f>
        <v/>
      </c>
      <c r="F27" s="188" t="str">
        <f>IFERROR(VLOOKUP($B27,Teilnehmer[],8,FALSE),"")</f>
        <v/>
      </c>
    </row>
    <row r="28" spans="1:6">
      <c r="A28" s="121">
        <f t="shared" si="0"/>
        <v>24</v>
      </c>
      <c r="B28" s="186" t="str">
        <f>IFERROR(INDEX(Teilnehmer[LfNr],_xlfn.AGGREGATE(15,6,ROW(Teilnehmer[LfNr])/((Teilnehmer[Geschlecht]=$G$2)*(Teilnehmer[Einzelkür]="ja")),ROW()-4)-1,1),"")</f>
        <v/>
      </c>
      <c r="C28" s="125" t="str">
        <f>IFERROR(VLOOKUP($B28,Teilnehmer[],2,FALSE),"")</f>
        <v/>
      </c>
      <c r="D28" s="126" t="str">
        <f>IFERROR(VLOOKUP($B28,Teilnehmer[],3,FALSE),"")</f>
        <v/>
      </c>
      <c r="E28" s="127" t="str">
        <f>IFERROR(VLOOKUP($B28,Teilnehmer[],5,FALSE),"")</f>
        <v/>
      </c>
      <c r="F28" s="188" t="str">
        <f>IFERROR(VLOOKUP($B28,Teilnehmer[],8,FALSE),"")</f>
        <v/>
      </c>
    </row>
    <row r="29" spans="1:6">
      <c r="A29" s="121">
        <f t="shared" si="0"/>
        <v>25</v>
      </c>
      <c r="B29" s="186" t="str">
        <f>IFERROR(INDEX(Teilnehmer[LfNr],_xlfn.AGGREGATE(15,6,ROW(Teilnehmer[LfNr])/((Teilnehmer[Geschlecht]=$G$2)*(Teilnehmer[Einzelkür]="ja")),ROW()-4)-1,1),"")</f>
        <v/>
      </c>
      <c r="C29" s="125" t="str">
        <f>IFERROR(VLOOKUP($B29,Teilnehmer[],2,FALSE),"")</f>
        <v/>
      </c>
      <c r="D29" s="126" t="str">
        <f>IFERROR(VLOOKUP($B29,Teilnehmer[],3,FALSE),"")</f>
        <v/>
      </c>
      <c r="E29" s="127" t="str">
        <f>IFERROR(VLOOKUP($B29,Teilnehmer[],5,FALSE),"")</f>
        <v/>
      </c>
      <c r="F29" s="188" t="str">
        <f>IFERROR(VLOOKUP($B29,Teilnehmer[],8,FALSE),"")</f>
        <v/>
      </c>
    </row>
    <row r="30" spans="1:6">
      <c r="A30" s="121">
        <f t="shared" si="0"/>
        <v>26</v>
      </c>
      <c r="B30" s="186" t="str">
        <f>IFERROR(INDEX(Teilnehmer[LfNr],_xlfn.AGGREGATE(15,6,ROW(Teilnehmer[LfNr])/((Teilnehmer[Geschlecht]=$G$2)*(Teilnehmer[Einzelkür]="ja")),ROW()-4)-1,1),"")</f>
        <v/>
      </c>
      <c r="C30" s="125" t="str">
        <f>IFERROR(VLOOKUP($B30,Teilnehmer[],2,FALSE),"")</f>
        <v/>
      </c>
      <c r="D30" s="126" t="str">
        <f>IFERROR(VLOOKUP($B30,Teilnehmer[],3,FALSE),"")</f>
        <v/>
      </c>
      <c r="E30" s="127" t="str">
        <f>IFERROR(VLOOKUP($B30,Teilnehmer[],5,FALSE),"")</f>
        <v/>
      </c>
      <c r="F30" s="188" t="str">
        <f>IFERROR(VLOOKUP($B30,Teilnehmer[],8,FALSE),"")</f>
        <v/>
      </c>
    </row>
    <row r="31" spans="1:6">
      <c r="A31" s="121">
        <f t="shared" si="0"/>
        <v>27</v>
      </c>
      <c r="B31" s="186" t="str">
        <f>IFERROR(INDEX(Teilnehmer[LfNr],_xlfn.AGGREGATE(15,6,ROW(Teilnehmer[LfNr])/((Teilnehmer[Geschlecht]=$G$2)*(Teilnehmer[Einzelkür]="ja")),ROW()-4)-1,1),"")</f>
        <v/>
      </c>
      <c r="C31" s="125" t="str">
        <f>IFERROR(VLOOKUP($B31,Teilnehmer[],2,FALSE),"")</f>
        <v/>
      </c>
      <c r="D31" s="126" t="str">
        <f>IFERROR(VLOOKUP($B31,Teilnehmer[],3,FALSE),"")</f>
        <v/>
      </c>
      <c r="E31" s="127" t="str">
        <f>IFERROR(VLOOKUP($B31,Teilnehmer[],5,FALSE),"")</f>
        <v/>
      </c>
      <c r="F31" s="188" t="str">
        <f>IFERROR(VLOOKUP($B31,Teilnehmer[],8,FALSE),"")</f>
        <v/>
      </c>
    </row>
    <row r="32" spans="1:6">
      <c r="A32" s="121">
        <f t="shared" si="0"/>
        <v>28</v>
      </c>
      <c r="B32" s="186" t="str">
        <f>IFERROR(INDEX(Teilnehmer[LfNr],_xlfn.AGGREGATE(15,6,ROW(Teilnehmer[LfNr])/((Teilnehmer[Geschlecht]=$G$2)*(Teilnehmer[Einzelkür]="ja")),ROW()-4)-1,1),"")</f>
        <v/>
      </c>
      <c r="C32" s="125" t="str">
        <f>IFERROR(VLOOKUP($B32,Teilnehmer[],2,FALSE),"")</f>
        <v/>
      </c>
      <c r="D32" s="126" t="str">
        <f>IFERROR(VLOOKUP($B32,Teilnehmer[],3,FALSE),"")</f>
        <v/>
      </c>
      <c r="E32" s="127" t="str">
        <f>IFERROR(VLOOKUP($B32,Teilnehmer[],5,FALSE),"")</f>
        <v/>
      </c>
      <c r="F32" s="188" t="str">
        <f>IFERROR(VLOOKUP($B32,Teilnehmer[],8,FALSE),"")</f>
        <v/>
      </c>
    </row>
    <row r="33" spans="1:6">
      <c r="A33" s="121">
        <f t="shared" si="0"/>
        <v>29</v>
      </c>
      <c r="B33" s="186" t="str">
        <f>IFERROR(INDEX(Teilnehmer[LfNr],_xlfn.AGGREGATE(15,6,ROW(Teilnehmer[LfNr])/((Teilnehmer[Geschlecht]=$G$2)*(Teilnehmer[Einzelkür]="ja")),ROW()-4)-1,1),"")</f>
        <v/>
      </c>
      <c r="C33" s="125" t="str">
        <f>IFERROR(VLOOKUP($B33,Teilnehmer[],2,FALSE),"")</f>
        <v/>
      </c>
      <c r="D33" s="126" t="str">
        <f>IFERROR(VLOOKUP($B33,Teilnehmer[],3,FALSE),"")</f>
        <v/>
      </c>
      <c r="E33" s="127" t="str">
        <f>IFERROR(VLOOKUP($B33,Teilnehmer[],5,FALSE),"")</f>
        <v/>
      </c>
      <c r="F33" s="188" t="str">
        <f>IFERROR(VLOOKUP($B33,Teilnehmer[],8,FALSE),"")</f>
        <v/>
      </c>
    </row>
    <row r="34" spans="1:6">
      <c r="A34" s="121">
        <f t="shared" si="0"/>
        <v>30</v>
      </c>
      <c r="B34" s="186" t="str">
        <f>IFERROR(INDEX(Teilnehmer[LfNr],_xlfn.AGGREGATE(15,6,ROW(Teilnehmer[LfNr])/((Teilnehmer[Geschlecht]=$G$2)*(Teilnehmer[Einzelkür]="ja")),ROW()-4)-1,1),"")</f>
        <v/>
      </c>
      <c r="C34" s="125" t="str">
        <f>IFERROR(VLOOKUP($B34,Teilnehmer[],2,FALSE),"")</f>
        <v/>
      </c>
      <c r="D34" s="126" t="str">
        <f>IFERROR(VLOOKUP($B34,Teilnehmer[],3,FALSE),"")</f>
        <v/>
      </c>
      <c r="E34" s="127" t="str">
        <f>IFERROR(VLOOKUP($B34,Teilnehmer[],5,FALSE),"")</f>
        <v/>
      </c>
      <c r="F34" s="188" t="str">
        <f>IFERROR(VLOOKUP($B34,Teilnehmer[],8,FALSE),"")</f>
        <v/>
      </c>
    </row>
    <row r="35" spans="1:6">
      <c r="A35" s="121">
        <f t="shared" si="0"/>
        <v>31</v>
      </c>
      <c r="B35" s="187" t="str">
        <f>IFERROR(INDEX(Teilnehmer[LfNr],_xlfn.AGGREGATE(15,6,ROW(Teilnehmer[LfNr])/((Teilnehmer[Geschlecht]=$G$2)*(Teilnehmer[Einzelkür]="ja")),ROW()-4)-1,1),"")</f>
        <v/>
      </c>
      <c r="C35" s="122" t="str">
        <f>IFERROR(VLOOKUP($B35,Teilnehmer[],2,FALSE),"")</f>
        <v/>
      </c>
      <c r="D35" s="123" t="str">
        <f>IFERROR(VLOOKUP($B35,Teilnehmer[],3,FALSE),"")</f>
        <v/>
      </c>
      <c r="E35" s="124" t="str">
        <f>IFERROR(VLOOKUP($B35,Teilnehmer[],5,FALSE),"")</f>
        <v/>
      </c>
      <c r="F35" s="188" t="str">
        <f>IFERROR(VLOOKUP($B35,Teilnehmer[],8,FALSE),"")</f>
        <v/>
      </c>
    </row>
  </sheetData>
  <sheetProtection algorithmName="SHA-512" hashValue="uNs73gdrCwjqtPQp9PkJJBcLPdZfoDE6jhb6etmB3san7bg8mbMahG2kF6ar5dbpplHEk1o4IjzRzePF5bQh8Q==" saltValue="pFL+wfU2vF8mp4GJ2Mq9SQ==" spinCount="100000" sheet="1" objects="1" selectLockedCells="1"/>
  <mergeCells count="1">
    <mergeCell ref="E2:F2"/>
  </mergeCells>
  <pageMargins left="0.7" right="0.7" top="0.78740157499999996" bottom="0.78740157499999996" header="0.3" footer="0.3"/>
  <pageSetup paperSize="9" orientation="landscape" r:id="rId1"/>
  <headerFooter>
    <oddFooter>&amp;RBlatt &amp;P von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B6FF9F"/>
  </sheetPr>
  <dimension ref="A1:M43"/>
  <sheetViews>
    <sheetView showGridLines="0" showRowColHeaders="0" showRuler="0" zoomScaleNormal="100" workbookViewId="0">
      <selection activeCell="J13" sqref="J13"/>
    </sheetView>
  </sheetViews>
  <sheetFormatPr baseColWidth="10" defaultColWidth="11.42578125" defaultRowHeight="15"/>
  <cols>
    <col min="1" max="1" width="6.7109375" style="7" customWidth="1"/>
    <col min="2" max="2" width="10.7109375" style="7" customWidth="1"/>
    <col min="3" max="3" width="28.7109375" style="7" customWidth="1"/>
    <col min="4" max="4" width="18.7109375" style="7" customWidth="1"/>
    <col min="5" max="5" width="8.7109375" style="7" customWidth="1"/>
    <col min="6" max="6" width="40.7109375" style="7" customWidth="1"/>
    <col min="7" max="7" width="0" style="7" hidden="1" customWidth="1"/>
    <col min="8" max="8" width="14" style="7" customWidth="1"/>
    <col min="9" max="16384" width="11.42578125" style="7"/>
  </cols>
  <sheetData>
    <row r="1" spans="1:13" ht="40.15" customHeight="1">
      <c r="A1" s="112" t="s">
        <v>74</v>
      </c>
      <c r="C1" s="8"/>
      <c r="D1" s="8"/>
      <c r="E1" s="8"/>
      <c r="F1" s="13"/>
      <c r="G1" s="8"/>
      <c r="H1" s="8"/>
      <c r="I1" s="8"/>
      <c r="J1" s="8"/>
      <c r="K1" s="8"/>
    </row>
    <row r="2" spans="1:13" ht="19.899999999999999" customHeight="1">
      <c r="A2" s="115" t="s">
        <v>42</v>
      </c>
      <c r="C2" s="6"/>
      <c r="D2" s="192">
        <f>Meldung!V1</f>
        <v>45038</v>
      </c>
      <c r="E2" s="327">
        <f>Deckblatt!C3</f>
        <v>45039</v>
      </c>
      <c r="F2" s="327"/>
      <c r="G2" s="47" t="s">
        <v>0</v>
      </c>
      <c r="H2" s="6"/>
      <c r="I2" s="9"/>
      <c r="J2" s="6"/>
      <c r="K2" s="9"/>
    </row>
    <row r="3" spans="1:13" ht="15.75">
      <c r="A3" s="10"/>
      <c r="B3" s="12"/>
      <c r="C3" s="12"/>
      <c r="D3" s="10"/>
      <c r="E3" s="10"/>
      <c r="F3" s="10"/>
      <c r="G3" s="10"/>
      <c r="M3" s="1"/>
    </row>
    <row r="4" spans="1:13" ht="49.9" customHeight="1">
      <c r="A4" s="74" t="s">
        <v>20</v>
      </c>
      <c r="B4" s="113" t="s">
        <v>53</v>
      </c>
      <c r="C4" s="75" t="s">
        <v>3</v>
      </c>
      <c r="D4" s="75" t="s">
        <v>4</v>
      </c>
      <c r="E4" s="76" t="s">
        <v>44</v>
      </c>
      <c r="F4" s="117" t="s">
        <v>12</v>
      </c>
      <c r="G4" s="10"/>
      <c r="M4" s="1"/>
    </row>
    <row r="5" spans="1:13" ht="15.75">
      <c r="A5" s="110">
        <v>1</v>
      </c>
      <c r="B5" s="185" t="str">
        <f>IFERROR(INDEX(Teilnehmer[LfNr],_xlfn.AGGREGATE(15,6,ROW(Teilnehmer[LfNr])/((Teilnehmer[Geschlecht]=$G$2)*(Teilnehmer[Einzelkür]="ja")),ROW()-4)-1,1),"")</f>
        <v/>
      </c>
      <c r="C5" s="64" t="str">
        <f>IFERROR(VLOOKUP($B5,Teilnehmer[],2,FALSE),"")</f>
        <v/>
      </c>
      <c r="D5" s="64" t="str">
        <f>IFERROR(VLOOKUP($B5,Teilnehmer[],3,FALSE),"")</f>
        <v/>
      </c>
      <c r="E5" s="71" t="str">
        <f>IFERROR(VLOOKUP($B5,Teilnehmer[],5,FALSE),"")</f>
        <v/>
      </c>
      <c r="F5" s="184" t="str">
        <f>IFERROR(VLOOKUP($B5,Teilnehmer[],8,FALSE),"")</f>
        <v/>
      </c>
      <c r="G5" s="10"/>
      <c r="M5" s="1"/>
    </row>
    <row r="6" spans="1:13" ht="15.75">
      <c r="A6" s="111">
        <f>A5+1</f>
        <v>2</v>
      </c>
      <c r="B6" s="185" t="str">
        <f>IFERROR(INDEX(Teilnehmer[LfNr],_xlfn.AGGREGATE(15,6,ROW(Teilnehmer[LfNr])/((Teilnehmer[Geschlecht]=$G$2)*(Teilnehmer[Einzelkür]="ja")),ROW()-4)-1,1),"")</f>
        <v/>
      </c>
      <c r="C6" s="64" t="str">
        <f>IFERROR(VLOOKUP($B6,Teilnehmer[],2,FALSE),"")</f>
        <v/>
      </c>
      <c r="D6" s="64" t="str">
        <f>IFERROR(VLOOKUP($B6,Teilnehmer[],3,FALSE),"")</f>
        <v/>
      </c>
      <c r="E6" s="71" t="str">
        <f>IFERROR(VLOOKUP($B6,Teilnehmer[],5,FALSE),"")</f>
        <v/>
      </c>
      <c r="F6" s="184" t="str">
        <f>IFERROR(VLOOKUP($B6,Teilnehmer[],8,FALSE),"")</f>
        <v/>
      </c>
      <c r="G6" s="10"/>
      <c r="M6" s="1"/>
    </row>
    <row r="7" spans="1:13" ht="15.75">
      <c r="A7" s="111">
        <f t="shared" ref="A7:A14" si="0">A6+1</f>
        <v>3</v>
      </c>
      <c r="B7" s="185" t="str">
        <f>IFERROR(INDEX(Teilnehmer[LfNr],_xlfn.AGGREGATE(15,6,ROW(Teilnehmer[LfNr])/((Teilnehmer[Geschlecht]=$G$2)*(Teilnehmer[Einzelkür]="ja")),ROW()-4)-1,1),"")</f>
        <v/>
      </c>
      <c r="C7" s="64" t="str">
        <f>IFERROR(VLOOKUP($B7,Teilnehmer[],2,FALSE),"")</f>
        <v/>
      </c>
      <c r="D7" s="64" t="str">
        <f>IFERROR(VLOOKUP($B7,Teilnehmer[],3,FALSE),"")</f>
        <v/>
      </c>
      <c r="E7" s="71" t="str">
        <f>IFERROR(VLOOKUP($B7,Teilnehmer[],5,FALSE),"")</f>
        <v/>
      </c>
      <c r="F7" s="184" t="str">
        <f>IFERROR(VLOOKUP($B7,Teilnehmer[],8,FALSE),"")</f>
        <v/>
      </c>
      <c r="G7" s="10"/>
      <c r="M7" s="1"/>
    </row>
    <row r="8" spans="1:13" ht="15.75">
      <c r="A8" s="111">
        <f t="shared" si="0"/>
        <v>4</v>
      </c>
      <c r="B8" s="185" t="str">
        <f>IFERROR(INDEX(Teilnehmer[LfNr],_xlfn.AGGREGATE(15,6,ROW(Teilnehmer[LfNr])/((Teilnehmer[Geschlecht]=$G$2)*(Teilnehmer[Einzelkür]="ja")),ROW()-4)-1,1),"")</f>
        <v/>
      </c>
      <c r="C8" s="64" t="str">
        <f>IFERROR(VLOOKUP($B8,Teilnehmer[],2,FALSE),"")</f>
        <v/>
      </c>
      <c r="D8" s="64" t="str">
        <f>IFERROR(VLOOKUP($B8,Teilnehmer[],3,FALSE),"")</f>
        <v/>
      </c>
      <c r="E8" s="71" t="str">
        <f>IFERROR(VLOOKUP($B8,Teilnehmer[],5,FALSE),"")</f>
        <v/>
      </c>
      <c r="F8" s="184" t="str">
        <f>IFERROR(VLOOKUP($B8,Teilnehmer[],8,FALSE),"")</f>
        <v/>
      </c>
      <c r="G8" s="10"/>
      <c r="M8" s="1"/>
    </row>
    <row r="9" spans="1:13" ht="15.75">
      <c r="A9" s="111">
        <f t="shared" si="0"/>
        <v>5</v>
      </c>
      <c r="B9" s="185" t="str">
        <f>IFERROR(INDEX(Teilnehmer[LfNr],_xlfn.AGGREGATE(15,6,ROW(Teilnehmer[LfNr])/((Teilnehmer[Geschlecht]=$G$2)*(Teilnehmer[Einzelkür]="ja")),ROW()-4)-1,1),"")</f>
        <v/>
      </c>
      <c r="C9" s="64" t="str">
        <f>IFERROR(VLOOKUP($B9,Teilnehmer[],2,FALSE),"")</f>
        <v/>
      </c>
      <c r="D9" s="64" t="str">
        <f>IFERROR(VLOOKUP($B9,Teilnehmer[],3,FALSE),"")</f>
        <v/>
      </c>
      <c r="E9" s="71" t="str">
        <f>IFERROR(VLOOKUP($B9,Teilnehmer[],5,FALSE),"")</f>
        <v/>
      </c>
      <c r="F9" s="184" t="str">
        <f>IFERROR(VLOOKUP($B9,Teilnehmer[],8,FALSE),"")</f>
        <v/>
      </c>
      <c r="G9" s="10"/>
      <c r="M9" s="1"/>
    </row>
    <row r="10" spans="1:13" ht="15.75">
      <c r="A10" s="111">
        <f t="shared" si="0"/>
        <v>6</v>
      </c>
      <c r="B10" s="185" t="str">
        <f>IFERROR(INDEX(Teilnehmer[LfNr],_xlfn.AGGREGATE(15,6,ROW(Teilnehmer[LfNr])/((Teilnehmer[Geschlecht]=$G$2)*(Teilnehmer[Einzelkür]="ja")),ROW()-4)-1,1),"")</f>
        <v/>
      </c>
      <c r="C10" s="64" t="str">
        <f>IFERROR(VLOOKUP($B10,Teilnehmer[],2,FALSE),"")</f>
        <v/>
      </c>
      <c r="D10" s="64" t="str">
        <f>IFERROR(VLOOKUP($B10,Teilnehmer[],3,FALSE),"")</f>
        <v/>
      </c>
      <c r="E10" s="71" t="str">
        <f>IFERROR(VLOOKUP($B10,Teilnehmer[],5,FALSE),"")</f>
        <v/>
      </c>
      <c r="F10" s="184" t="str">
        <f>IFERROR(VLOOKUP($B10,Teilnehmer[],8,FALSE),"")</f>
        <v/>
      </c>
      <c r="G10" s="10"/>
      <c r="M10" s="1"/>
    </row>
    <row r="11" spans="1:13" ht="15.75">
      <c r="A11" s="111">
        <f t="shared" si="0"/>
        <v>7</v>
      </c>
      <c r="B11" s="185" t="str">
        <f>IFERROR(INDEX(Teilnehmer[LfNr],_xlfn.AGGREGATE(15,6,ROW(Teilnehmer[LfNr])/((Teilnehmer[Geschlecht]=$G$2)*(Teilnehmer[Einzelkür]="ja")),ROW()-4)-1,1),"")</f>
        <v/>
      </c>
      <c r="C11" s="64" t="str">
        <f>IFERROR(VLOOKUP($B11,Teilnehmer[],2,FALSE),"")</f>
        <v/>
      </c>
      <c r="D11" s="64" t="str">
        <f>IFERROR(VLOOKUP($B11,Teilnehmer[],3,FALSE),"")</f>
        <v/>
      </c>
      <c r="E11" s="71" t="str">
        <f>IFERROR(VLOOKUP($B11,Teilnehmer[],5,FALSE),"")</f>
        <v/>
      </c>
      <c r="F11" s="184" t="str">
        <f>IFERROR(VLOOKUP($B11,Teilnehmer[],8,FALSE),"")</f>
        <v/>
      </c>
      <c r="G11" s="10"/>
      <c r="M11" s="1"/>
    </row>
    <row r="12" spans="1:13" ht="15.75">
      <c r="A12" s="111">
        <f t="shared" si="0"/>
        <v>8</v>
      </c>
      <c r="B12" s="185" t="str">
        <f>IFERROR(INDEX(Teilnehmer[LfNr],_xlfn.AGGREGATE(15,6,ROW(Teilnehmer[LfNr])/((Teilnehmer[Geschlecht]=$G$2)*(Teilnehmer[Einzelkür]="ja")),ROW()-4)-1,1),"")</f>
        <v/>
      </c>
      <c r="C12" s="64" t="str">
        <f>IFERROR(VLOOKUP($B12,Teilnehmer[],2,FALSE),"")</f>
        <v/>
      </c>
      <c r="D12" s="64" t="str">
        <f>IFERROR(VLOOKUP($B12,Teilnehmer[],3,FALSE),"")</f>
        <v/>
      </c>
      <c r="E12" s="71" t="str">
        <f>IFERROR(VLOOKUP($B12,Teilnehmer[],5,FALSE),"")</f>
        <v/>
      </c>
      <c r="F12" s="184" t="str">
        <f>IFERROR(VLOOKUP($B12,Teilnehmer[],8,FALSE),"")</f>
        <v/>
      </c>
      <c r="G12" s="10"/>
      <c r="M12" s="1"/>
    </row>
    <row r="13" spans="1:13" ht="15.75">
      <c r="A13" s="111">
        <f t="shared" si="0"/>
        <v>9</v>
      </c>
      <c r="B13" s="185" t="str">
        <f>IFERROR(INDEX(Teilnehmer[LfNr],_xlfn.AGGREGATE(15,6,ROW(Teilnehmer[LfNr])/((Teilnehmer[Geschlecht]=$G$2)*(Teilnehmer[Einzelkür]="ja")),ROW()-4)-1,1),"")</f>
        <v/>
      </c>
      <c r="C13" s="64" t="str">
        <f>IFERROR(VLOOKUP($B13,Teilnehmer[],2,FALSE),"")</f>
        <v/>
      </c>
      <c r="D13" s="64" t="str">
        <f>IFERROR(VLOOKUP($B13,Teilnehmer[],3,FALSE),"")</f>
        <v/>
      </c>
      <c r="E13" s="71" t="str">
        <f>IFERROR(VLOOKUP($B13,Teilnehmer[],5,FALSE),"")</f>
        <v/>
      </c>
      <c r="F13" s="184" t="str">
        <f>IFERROR(VLOOKUP($B13,Teilnehmer[],8,FALSE),"")</f>
        <v/>
      </c>
      <c r="G13" s="10"/>
      <c r="M13" s="1"/>
    </row>
    <row r="14" spans="1:13" ht="15.75">
      <c r="A14" s="111">
        <f t="shared" si="0"/>
        <v>10</v>
      </c>
      <c r="B14" s="185" t="str">
        <f>IFERROR(INDEX(Teilnehmer[LfNr],_xlfn.AGGREGATE(15,6,ROW(Teilnehmer[LfNr])/((Teilnehmer[Geschlecht]=$G$2)*(Teilnehmer[Einzelkür]="ja")),ROW()-4)-1,1),"")</f>
        <v/>
      </c>
      <c r="C14" s="64" t="str">
        <f>IFERROR(VLOOKUP($B14,Teilnehmer[],2,FALSE),"")</f>
        <v/>
      </c>
      <c r="D14" s="64" t="str">
        <f>IFERROR(VLOOKUP($B14,Teilnehmer[],3,FALSE),"")</f>
        <v/>
      </c>
      <c r="E14" s="71" t="str">
        <f>IFERROR(VLOOKUP($B14,Teilnehmer[],5,FALSE),"")</f>
        <v/>
      </c>
      <c r="F14" s="184" t="str">
        <f>IFERROR(VLOOKUP($B14,Teilnehmer[],8,FALSE),"")</f>
        <v/>
      </c>
      <c r="G14" s="10"/>
      <c r="M14" s="1"/>
    </row>
    <row r="19" spans="2:6" ht="15.75">
      <c r="B19" s="328"/>
      <c r="C19" s="328"/>
      <c r="D19" s="10"/>
      <c r="E19" s="10"/>
      <c r="F19" s="1"/>
    </row>
    <row r="20" spans="2:6" ht="15.75">
      <c r="B20" s="79"/>
      <c r="C20" s="11"/>
      <c r="D20" s="11"/>
      <c r="E20" s="11"/>
      <c r="F20" s="1"/>
    </row>
    <row r="21" spans="2:6" ht="15.75">
      <c r="B21" s="79"/>
      <c r="C21" s="10"/>
      <c r="D21" s="10"/>
      <c r="E21" s="70"/>
      <c r="F21" s="1"/>
    </row>
    <row r="22" spans="2:6" ht="15.75">
      <c r="B22" s="79"/>
      <c r="C22" s="329"/>
      <c r="D22" s="329"/>
      <c r="E22" s="79"/>
      <c r="F22" s="1"/>
    </row>
    <row r="23" spans="2:6" ht="15.75">
      <c r="B23" s="10"/>
      <c r="C23" s="10"/>
      <c r="D23" s="10"/>
      <c r="E23" s="10"/>
      <c r="F23" s="1"/>
    </row>
    <row r="24" spans="2:6" ht="15.75">
      <c r="B24" s="328"/>
      <c r="C24" s="328"/>
      <c r="D24" s="10"/>
      <c r="E24" s="10"/>
      <c r="F24" s="1"/>
    </row>
    <row r="25" spans="2:6" ht="15.75">
      <c r="B25" s="79"/>
      <c r="C25" s="11"/>
      <c r="D25" s="11"/>
      <c r="E25" s="11"/>
      <c r="F25" s="1"/>
    </row>
    <row r="26" spans="2:6" ht="15.75">
      <c r="B26" s="79"/>
      <c r="C26" s="10"/>
      <c r="D26" s="10"/>
      <c r="E26" s="70"/>
      <c r="F26" s="1"/>
    </row>
    <row r="27" spans="2:6" ht="15.75">
      <c r="B27" s="79"/>
      <c r="C27" s="329"/>
      <c r="D27" s="329"/>
      <c r="E27" s="79"/>
      <c r="F27" s="1"/>
    </row>
    <row r="28" spans="2:6" ht="15.75">
      <c r="B28" s="10"/>
      <c r="C28" s="10"/>
      <c r="D28" s="10"/>
      <c r="E28" s="10"/>
      <c r="F28" s="1"/>
    </row>
    <row r="29" spans="2:6" ht="15.75">
      <c r="B29" s="328"/>
      <c r="C29" s="328"/>
      <c r="D29" s="10"/>
      <c r="E29" s="10"/>
      <c r="F29" s="1"/>
    </row>
    <row r="30" spans="2:6" ht="15.75">
      <c r="B30" s="79"/>
      <c r="C30" s="11"/>
      <c r="D30" s="11"/>
      <c r="E30" s="11"/>
      <c r="F30" s="1"/>
    </row>
    <row r="31" spans="2:6" ht="15.75">
      <c r="B31" s="79"/>
      <c r="C31" s="10"/>
      <c r="D31" s="10"/>
      <c r="E31" s="70"/>
      <c r="F31" s="1"/>
    </row>
    <row r="32" spans="2:6" ht="15.75">
      <c r="B32" s="79"/>
      <c r="C32" s="329"/>
      <c r="D32" s="329"/>
      <c r="E32" s="79"/>
      <c r="F32" s="1"/>
    </row>
    <row r="33" spans="2:6" ht="15.75">
      <c r="B33" s="10"/>
      <c r="C33" s="10"/>
      <c r="D33" s="10"/>
      <c r="E33" s="10"/>
      <c r="F33" s="1"/>
    </row>
    <row r="34" spans="2:6" ht="15.75">
      <c r="B34" s="328"/>
      <c r="C34" s="328"/>
      <c r="D34" s="10"/>
      <c r="E34" s="10"/>
      <c r="F34" s="1"/>
    </row>
    <row r="35" spans="2:6" ht="15.75">
      <c r="B35" s="79"/>
      <c r="C35" s="11"/>
      <c r="D35" s="11"/>
      <c r="E35" s="11"/>
      <c r="F35" s="1"/>
    </row>
    <row r="36" spans="2:6" ht="15.75">
      <c r="B36" s="79"/>
      <c r="C36" s="10"/>
      <c r="D36" s="10"/>
      <c r="E36" s="70"/>
      <c r="F36" s="1"/>
    </row>
    <row r="37" spans="2:6" ht="15.75">
      <c r="B37" s="79"/>
      <c r="C37" s="329"/>
      <c r="D37" s="329"/>
      <c r="E37" s="79"/>
      <c r="F37" s="1"/>
    </row>
    <row r="38" spans="2:6" ht="15.75">
      <c r="B38" s="10"/>
      <c r="C38" s="10"/>
      <c r="D38" s="10"/>
      <c r="E38" s="10"/>
      <c r="F38" s="1"/>
    </row>
    <row r="39" spans="2:6" ht="15.75">
      <c r="B39" s="328"/>
      <c r="C39" s="328"/>
      <c r="D39" s="10"/>
      <c r="E39" s="10"/>
      <c r="F39" s="1"/>
    </row>
    <row r="40" spans="2:6" ht="15.75">
      <c r="B40" s="79"/>
      <c r="C40" s="11"/>
      <c r="D40" s="11"/>
      <c r="E40" s="11"/>
      <c r="F40" s="1"/>
    </row>
    <row r="41" spans="2:6" ht="15.75">
      <c r="B41" s="79"/>
      <c r="C41" s="10"/>
      <c r="D41" s="10"/>
      <c r="E41" s="70"/>
      <c r="F41" s="1"/>
    </row>
    <row r="42" spans="2:6" ht="15.75">
      <c r="B42" s="79"/>
      <c r="C42" s="329"/>
      <c r="D42" s="329"/>
      <c r="E42" s="79"/>
      <c r="F42" s="1"/>
    </row>
    <row r="43" spans="2:6" ht="15.75">
      <c r="B43" s="1"/>
      <c r="C43" s="1"/>
      <c r="D43" s="1"/>
      <c r="E43" s="1"/>
      <c r="F43" s="1"/>
    </row>
  </sheetData>
  <sheetProtection algorithmName="SHA-512" hashValue="hoW0Flc8anvhHF7yx5CdgoB5LJOBXEDP4+TTgNZS9A2KVxxEcQaYUnFW6Hnuk1vVhVWVB+FVuvkK3sPSSkSLUA==" saltValue="VF2JY+c5NCqCd95M+C/+Og==" spinCount="100000" sheet="1" objects="1" selectLockedCells="1"/>
  <mergeCells count="11">
    <mergeCell ref="E2:F2"/>
    <mergeCell ref="B34:C34"/>
    <mergeCell ref="C37:D37"/>
    <mergeCell ref="B39:C39"/>
    <mergeCell ref="C42:D42"/>
    <mergeCell ref="B19:C19"/>
    <mergeCell ref="C22:D22"/>
    <mergeCell ref="B24:C24"/>
    <mergeCell ref="C27:D27"/>
    <mergeCell ref="B29:C29"/>
    <mergeCell ref="C32:D32"/>
  </mergeCells>
  <pageMargins left="0.7" right="0.7" top="0.78740157499999996" bottom="0.78740157499999996" header="0.3" footer="0.3"/>
  <pageSetup paperSize="9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tabColor theme="6" tint="0.39997558519241921"/>
  </sheetPr>
  <dimension ref="A1:O46"/>
  <sheetViews>
    <sheetView showGridLines="0" showRowColHeaders="0" showRuler="0" zoomScaleNormal="100" workbookViewId="0">
      <selection activeCell="B2" sqref="B2"/>
    </sheetView>
  </sheetViews>
  <sheetFormatPr baseColWidth="10" defaultColWidth="11.42578125" defaultRowHeight="15"/>
  <cols>
    <col min="1" max="1" width="5.7109375" customWidth="1"/>
    <col min="2" max="2" width="5.7109375" style="2" customWidth="1"/>
    <col min="3" max="3" width="10.7109375" style="27" customWidth="1"/>
    <col min="4" max="4" width="28.7109375" customWidth="1"/>
    <col min="5" max="5" width="18.7109375" customWidth="1"/>
    <col min="6" max="6" width="8.7109375" customWidth="1"/>
    <col min="7" max="7" width="30.7109375" style="26" customWidth="1"/>
    <col min="8" max="8" width="5.7109375" style="26" customWidth="1"/>
  </cols>
  <sheetData>
    <row r="1" spans="1:15" s="7" customFormat="1" ht="40.15" customHeight="1">
      <c r="A1" s="112" t="s">
        <v>74</v>
      </c>
      <c r="B1" s="82"/>
      <c r="D1" s="8"/>
      <c r="E1" s="8"/>
      <c r="G1" s="8"/>
      <c r="H1" s="13"/>
      <c r="I1" s="8"/>
      <c r="J1" s="8"/>
      <c r="K1" s="8"/>
      <c r="L1" s="8"/>
      <c r="M1" s="8"/>
    </row>
    <row r="2" spans="1:15" s="7" customFormat="1" ht="19.899999999999999" customHeight="1">
      <c r="A2" s="114" t="s">
        <v>13</v>
      </c>
      <c r="D2" s="192">
        <f>Meldung!V1</f>
        <v>45038</v>
      </c>
      <c r="E2" s="116">
        <f>Deckblatt!C3</f>
        <v>45039</v>
      </c>
      <c r="F2" s="6"/>
      <c r="G2" s="6"/>
      <c r="H2" s="6"/>
      <c r="I2" s="47"/>
      <c r="J2" s="47"/>
      <c r="K2" s="9"/>
      <c r="L2" s="6"/>
      <c r="M2" s="9"/>
    </row>
    <row r="3" spans="1:15" s="7" customFormat="1" ht="15" customHeight="1">
      <c r="B3" s="83"/>
      <c r="C3" s="72"/>
      <c r="D3" s="72"/>
      <c r="E3" s="10"/>
      <c r="F3" s="10"/>
      <c r="G3" s="10"/>
      <c r="H3" s="10"/>
      <c r="I3" s="10"/>
      <c r="O3" s="1"/>
    </row>
    <row r="4" spans="1:15" ht="40.15" customHeight="1">
      <c r="A4" s="203" t="s">
        <v>20</v>
      </c>
      <c r="B4" s="84"/>
      <c r="C4" s="204" t="s">
        <v>53</v>
      </c>
      <c r="D4" s="200" t="s">
        <v>3</v>
      </c>
      <c r="E4" s="201" t="s">
        <v>4</v>
      </c>
      <c r="F4" s="201" t="s">
        <v>44</v>
      </c>
      <c r="G4" s="202" t="s">
        <v>12</v>
      </c>
    </row>
    <row r="5" spans="1:15" s="14" customFormat="1" ht="16.5" customHeight="1">
      <c r="A5" s="92">
        <v>1</v>
      </c>
      <c r="B5" s="93">
        <v>1</v>
      </c>
      <c r="C5" s="94" t="str">
        <f>IFERROR(INDEX(Teilnehmer[LfNr],_xlfn.AGGREGATE(15,6,ROW(Teilnehmer[LfNr])/((Teilnehmer[Paarkür]=A5)),ROW()-4)-1,1),"")</f>
        <v/>
      </c>
      <c r="D5" s="94" t="str">
        <f>IFERROR(VLOOKUP(C5,Teilnehmer[],2,FALSE),"")</f>
        <v/>
      </c>
      <c r="E5" s="94" t="str">
        <f>IFERROR(VLOOKUP(C5,Teilnehmer[],3,FALSE),"")</f>
        <v/>
      </c>
      <c r="F5" s="105" t="str">
        <f>IFERROR(VLOOKUP(C5,Teilnehmer[],5,FALSE),"")</f>
        <v/>
      </c>
      <c r="G5" s="95" t="str">
        <f>IFERROR(VLOOKUP(C5,Teilnehmer[],10,FALSE),"")</f>
        <v/>
      </c>
      <c r="H5" s="81">
        <v>2</v>
      </c>
    </row>
    <row r="6" spans="1:15" s="14" customFormat="1" ht="16.5" customHeight="1" thickBot="1">
      <c r="A6" s="96"/>
      <c r="B6" s="97">
        <v>2</v>
      </c>
      <c r="C6" s="98" t="str">
        <f>IFERROR(INDEX(Teilnehmer[LfNr],_xlfn.AGGREGATE(15,6,ROW(Teilnehmer[LfNr])/((Teilnehmer[Paarkür]=A5)),ROW()-4)-1,1),"")</f>
        <v/>
      </c>
      <c r="D6" s="98" t="str">
        <f>IFERROR(VLOOKUP(C6,Teilnehmer[],2,FALSE),"")</f>
        <v/>
      </c>
      <c r="E6" s="98" t="str">
        <f>IFERROR(VLOOKUP(C6,Teilnehmer[],3,FALSE),"")</f>
        <v/>
      </c>
      <c r="F6" s="106" t="str">
        <f>IFERROR(VLOOKUP(C6,Teilnehmer[],5,FALSE),"")</f>
        <v/>
      </c>
      <c r="G6" s="208" t="str">
        <f>IFERROR(VLOOKUP(C6,Teilnehmer[],10,FALSE),"")</f>
        <v/>
      </c>
      <c r="H6" s="81"/>
    </row>
    <row r="7" spans="1:15" s="14" customFormat="1" ht="16.5" customHeight="1">
      <c r="A7" s="85">
        <v>2</v>
      </c>
      <c r="B7" s="86">
        <v>1</v>
      </c>
      <c r="C7" s="87" t="str">
        <f>IFERROR(INDEX(Teilnehmer[LfNr],_xlfn.AGGREGATE(15,6,ROW(Teilnehmer[LfNr])/((Teilnehmer[Paarkür]=A7)),ROW()-6)-1,1),"")</f>
        <v/>
      </c>
      <c r="D7" s="87" t="str">
        <f>IFERROR(VLOOKUP(C7,Teilnehmer[],2,FALSE),"")</f>
        <v/>
      </c>
      <c r="E7" s="87" t="str">
        <f>IFERROR(VLOOKUP(C7,Teilnehmer[],3,FALSE),"")</f>
        <v/>
      </c>
      <c r="F7" s="107" t="str">
        <f>IFERROR(VLOOKUP(C7,Teilnehmer[],5,FALSE),"")</f>
        <v/>
      </c>
      <c r="G7" s="88" t="str">
        <f>IFERROR(VLOOKUP(C7,Teilnehmer[],10,FALSE),"")</f>
        <v/>
      </c>
      <c r="H7" s="81">
        <v>2</v>
      </c>
    </row>
    <row r="8" spans="1:15" s="14" customFormat="1" ht="16.5" customHeight="1" thickBot="1">
      <c r="A8" s="89"/>
      <c r="B8" s="90">
        <v>2</v>
      </c>
      <c r="C8" s="91" t="str">
        <f>IFERROR(INDEX(Teilnehmer[LfNr],_xlfn.AGGREGATE(15,6,ROW(Teilnehmer[LfNr])/((Teilnehmer[Paarkür]=A7)),ROW()-6)-1,1),"")</f>
        <v/>
      </c>
      <c r="D8" s="91" t="str">
        <f>IFERROR(VLOOKUP(C8,Teilnehmer[],2,FALSE),"")</f>
        <v/>
      </c>
      <c r="E8" s="91" t="str">
        <f>IFERROR(VLOOKUP(C8,Teilnehmer[],3,FALSE),"")</f>
        <v/>
      </c>
      <c r="F8" s="108" t="str">
        <f>IFERROR(VLOOKUP(C8,Teilnehmer[],5,FALSE),"")</f>
        <v/>
      </c>
      <c r="G8" s="209" t="str">
        <f>IFERROR(VLOOKUP(C8,Teilnehmer[],10,FALSE),"")</f>
        <v/>
      </c>
      <c r="H8" s="81"/>
    </row>
    <row r="9" spans="1:15" s="14" customFormat="1" ht="16.5" customHeight="1">
      <c r="A9" s="100">
        <v>3</v>
      </c>
      <c r="B9" s="101">
        <v>1</v>
      </c>
      <c r="C9" s="102" t="str">
        <f>IFERROR(INDEX(Teilnehmer[LfNr],_xlfn.AGGREGATE(15,6,ROW(Teilnehmer[LfNr])/((Teilnehmer[Paarkür]=A9)),ROW()-8)-1,1),"")</f>
        <v/>
      </c>
      <c r="D9" s="102" t="str">
        <f>IFERROR(VLOOKUP(C9,Teilnehmer[],2,FALSE),"")</f>
        <v/>
      </c>
      <c r="E9" s="102" t="str">
        <f>IFERROR(VLOOKUP(C9,Teilnehmer[],3,FALSE),"")</f>
        <v/>
      </c>
      <c r="F9" s="109" t="str">
        <f>IFERROR(VLOOKUP(C9,Teilnehmer[],5,FALSE),"")</f>
        <v/>
      </c>
      <c r="G9" s="95" t="str">
        <f>IFERROR(VLOOKUP(C9,Teilnehmer[],10,FALSE),"")</f>
        <v/>
      </c>
      <c r="H9" s="81">
        <v>2</v>
      </c>
    </row>
    <row r="10" spans="1:15" s="14" customFormat="1" ht="16.5" customHeight="1" thickBot="1">
      <c r="A10" s="96"/>
      <c r="B10" s="97">
        <v>2</v>
      </c>
      <c r="C10" s="98" t="str">
        <f>IFERROR(INDEX(Teilnehmer[LfNr],_xlfn.AGGREGATE(15,6,ROW(Teilnehmer[LfNr])/((Teilnehmer[Paarkür]=A9)),ROW()-8)-1,1),"")</f>
        <v/>
      </c>
      <c r="D10" s="98" t="str">
        <f>IFERROR(VLOOKUP(C10,Teilnehmer[],2,FALSE),"")</f>
        <v/>
      </c>
      <c r="E10" s="98" t="str">
        <f>IFERROR(VLOOKUP(C10,Teilnehmer[],3,FALSE),"")</f>
        <v/>
      </c>
      <c r="F10" s="106" t="str">
        <f>IFERROR(VLOOKUP(C10,Teilnehmer[],5,FALSE),"")</f>
        <v/>
      </c>
      <c r="G10" s="208" t="str">
        <f>IFERROR(VLOOKUP(C10,Teilnehmer[],10,FALSE),"")</f>
        <v/>
      </c>
      <c r="H10" s="81"/>
    </row>
    <row r="11" spans="1:15" s="14" customFormat="1" ht="16.5" customHeight="1">
      <c r="A11" s="85">
        <v>4</v>
      </c>
      <c r="B11" s="86">
        <v>1</v>
      </c>
      <c r="C11" s="87" t="str">
        <f>IFERROR(INDEX(Teilnehmer[LfNr],_xlfn.AGGREGATE(15,6,ROW(Teilnehmer[LfNr])/((Teilnehmer[Paarkür]=A11)),ROW()-10)-1,1),"")</f>
        <v/>
      </c>
      <c r="D11" s="87" t="str">
        <f>IFERROR(VLOOKUP(C11,Teilnehmer[],2,FALSE),"")</f>
        <v/>
      </c>
      <c r="E11" s="87" t="str">
        <f>IFERROR(VLOOKUP(C11,Teilnehmer[],3,FALSE),"")</f>
        <v/>
      </c>
      <c r="F11" s="107" t="str">
        <f>IFERROR(VLOOKUP(C11,Teilnehmer[],5,FALSE),"")</f>
        <v/>
      </c>
      <c r="G11" s="88" t="str">
        <f>IFERROR(VLOOKUP(C11,Teilnehmer[],10,FALSE),"")</f>
        <v/>
      </c>
      <c r="H11" s="81">
        <v>2</v>
      </c>
    </row>
    <row r="12" spans="1:15" s="14" customFormat="1" ht="16.5" customHeight="1" thickBot="1">
      <c r="A12" s="89"/>
      <c r="B12" s="90">
        <v>2</v>
      </c>
      <c r="C12" s="91" t="str">
        <f>IFERROR(INDEX(Teilnehmer[LfNr],_xlfn.AGGREGATE(15,6,ROW(Teilnehmer[LfNr])/((Teilnehmer[Paarkür]=A11)),ROW()-10)-1,1),"")</f>
        <v/>
      </c>
      <c r="D12" s="91" t="str">
        <f>IFERROR(VLOOKUP(C12,Teilnehmer[],2,FALSE),"")</f>
        <v/>
      </c>
      <c r="E12" s="91" t="str">
        <f>IFERROR(VLOOKUP(C12,Teilnehmer[],3,FALSE),"")</f>
        <v/>
      </c>
      <c r="F12" s="108" t="str">
        <f>IFERROR(VLOOKUP(C12,Teilnehmer[],5,FALSE),"")</f>
        <v/>
      </c>
      <c r="G12" s="209" t="str">
        <f>IFERROR(VLOOKUP(C12,Teilnehmer[],10,FALSE),"")</f>
        <v/>
      </c>
      <c r="H12" s="81"/>
    </row>
    <row r="13" spans="1:15" s="14" customFormat="1" ht="16.5" customHeight="1">
      <c r="A13" s="100">
        <v>5</v>
      </c>
      <c r="B13" s="101">
        <v>1</v>
      </c>
      <c r="C13" s="102" t="str">
        <f>IFERROR(INDEX(Teilnehmer[LfNr],_xlfn.AGGREGATE(15,6,ROW(Teilnehmer[LfNr])/((Teilnehmer[Paarkür]=A13)),ROW()-12)-1,1),"")</f>
        <v/>
      </c>
      <c r="D13" s="102" t="str">
        <f>IFERROR(VLOOKUP(C13,Teilnehmer[],2,FALSE),"")</f>
        <v/>
      </c>
      <c r="E13" s="102" t="str">
        <f>IFERROR(VLOOKUP(C13,Teilnehmer[],3,FALSE),"")</f>
        <v/>
      </c>
      <c r="F13" s="109" t="str">
        <f>IFERROR(VLOOKUP(C13,Teilnehmer[],5,FALSE),"")</f>
        <v/>
      </c>
      <c r="G13" s="95" t="str">
        <f>IFERROR(VLOOKUP(C13,Teilnehmer[],10,FALSE),"")</f>
        <v/>
      </c>
      <c r="H13" s="81">
        <v>2</v>
      </c>
    </row>
    <row r="14" spans="1:15" s="14" customFormat="1" ht="16.5" customHeight="1" thickBot="1">
      <c r="A14" s="96"/>
      <c r="B14" s="97">
        <v>2</v>
      </c>
      <c r="C14" s="98" t="str">
        <f>IFERROR(INDEX(Teilnehmer[LfNr],_xlfn.AGGREGATE(15,6,ROW(Teilnehmer[LfNr])/((Teilnehmer[Paarkür]=A13)),ROW()-12)-1,1),"")</f>
        <v/>
      </c>
      <c r="D14" s="98" t="str">
        <f>IFERROR(VLOOKUP(C14,Teilnehmer[],2,FALSE),"")</f>
        <v/>
      </c>
      <c r="E14" s="98" t="str">
        <f>IFERROR(VLOOKUP(C14,Teilnehmer[],3,FALSE),"")</f>
        <v/>
      </c>
      <c r="F14" s="106" t="str">
        <f>IFERROR(VLOOKUP(C14,Teilnehmer[],5,FALSE),"")</f>
        <v/>
      </c>
      <c r="G14" s="208" t="str">
        <f>IFERROR(VLOOKUP(C14,Teilnehmer[],10,FALSE),"")</f>
        <v/>
      </c>
      <c r="H14" s="81"/>
    </row>
    <row r="15" spans="1:15" s="14" customFormat="1" ht="16.5" customHeight="1">
      <c r="A15" s="85">
        <v>6</v>
      </c>
      <c r="B15" s="86">
        <v>1</v>
      </c>
      <c r="C15" s="87" t="str">
        <f>IFERROR(INDEX(Teilnehmer[LfNr],_xlfn.AGGREGATE(15,6,ROW(Teilnehmer[LfNr])/((Teilnehmer[Paarkür]=A15)),ROW()-14)-1,1),"")</f>
        <v/>
      </c>
      <c r="D15" s="87" t="str">
        <f>IFERROR(VLOOKUP(C15,Teilnehmer[],2,FALSE),"")</f>
        <v/>
      </c>
      <c r="E15" s="87" t="str">
        <f>IFERROR(VLOOKUP(C15,Teilnehmer[],3,FALSE),"")</f>
        <v/>
      </c>
      <c r="F15" s="107" t="str">
        <f>IFERROR(VLOOKUP(C15,Teilnehmer[],5,FALSE),"")</f>
        <v/>
      </c>
      <c r="G15" s="88" t="str">
        <f>IFERROR(VLOOKUP(C15,Teilnehmer[],10,FALSE),"")</f>
        <v/>
      </c>
      <c r="H15" s="81">
        <v>2</v>
      </c>
    </row>
    <row r="16" spans="1:15" s="14" customFormat="1" ht="16.5" customHeight="1" thickBot="1">
      <c r="A16" s="89"/>
      <c r="B16" s="90">
        <v>2</v>
      </c>
      <c r="C16" s="91" t="str">
        <f>IFERROR(INDEX(Teilnehmer[LfNr],_xlfn.AGGREGATE(15,6,ROW(Teilnehmer[LfNr])/((Teilnehmer[Paarkür]=A15)),ROW()-14)-1,1),"")</f>
        <v/>
      </c>
      <c r="D16" s="91" t="str">
        <f>IFERROR(VLOOKUP(C16,Teilnehmer[],2,FALSE),"")</f>
        <v/>
      </c>
      <c r="E16" s="91" t="str">
        <f>IFERROR(VLOOKUP(C16,Teilnehmer[],3,FALSE),"")</f>
        <v/>
      </c>
      <c r="F16" s="108" t="str">
        <f>IFERROR(VLOOKUP(C16,Teilnehmer[],5,FALSE),"")</f>
        <v/>
      </c>
      <c r="G16" s="209" t="str">
        <f>IFERROR(VLOOKUP(C16,Teilnehmer[],10,FALSE),"")</f>
        <v/>
      </c>
      <c r="H16" s="81"/>
    </row>
    <row r="17" spans="1:8" s="14" customFormat="1" ht="16.5" customHeight="1">
      <c r="A17" s="100">
        <v>7</v>
      </c>
      <c r="B17" s="101">
        <v>1</v>
      </c>
      <c r="C17" s="102" t="str">
        <f>IFERROR(INDEX(Teilnehmer[LfNr],_xlfn.AGGREGATE(15,6,ROW(Teilnehmer[LfNr])/((Teilnehmer[Paarkür]=A17)),ROW()-16)-1,1),"")</f>
        <v/>
      </c>
      <c r="D17" s="102" t="str">
        <f>IFERROR(VLOOKUP(C17,Teilnehmer[],2,FALSE),"")</f>
        <v/>
      </c>
      <c r="E17" s="102" t="str">
        <f>IFERROR(VLOOKUP(C17,Teilnehmer[],3,FALSE),"")</f>
        <v/>
      </c>
      <c r="F17" s="109" t="str">
        <f>IFERROR(VLOOKUP(C17,Teilnehmer[],5,FALSE),"")</f>
        <v/>
      </c>
      <c r="G17" s="95" t="str">
        <f>IFERROR(VLOOKUP(C17,Teilnehmer[],10,FALSE),"")</f>
        <v/>
      </c>
      <c r="H17" s="81">
        <v>2</v>
      </c>
    </row>
    <row r="18" spans="1:8" s="14" customFormat="1" ht="16.5" customHeight="1" thickBot="1">
      <c r="A18" s="96"/>
      <c r="B18" s="97">
        <v>2</v>
      </c>
      <c r="C18" s="98" t="str">
        <f>IFERROR(INDEX(Teilnehmer[LfNr],_xlfn.AGGREGATE(15,6,ROW(Teilnehmer[LfNr])/((Teilnehmer[Paarkür]=A17)),ROW()-16)-1,1),"")</f>
        <v/>
      </c>
      <c r="D18" s="98" t="str">
        <f>IFERROR(VLOOKUP(C18,Teilnehmer[],2,FALSE),"")</f>
        <v/>
      </c>
      <c r="E18" s="98" t="str">
        <f>IFERROR(VLOOKUP(C18,Teilnehmer[],3,FALSE),"")</f>
        <v/>
      </c>
      <c r="F18" s="106" t="str">
        <f>IFERROR(VLOOKUP(C18,Teilnehmer[],5,FALSE),"")</f>
        <v/>
      </c>
      <c r="G18" s="208" t="str">
        <f>IFERROR(VLOOKUP(C18,Teilnehmer[],10,FALSE),"")</f>
        <v/>
      </c>
      <c r="H18" s="81"/>
    </row>
    <row r="19" spans="1:8" s="14" customFormat="1" ht="16.5" customHeight="1">
      <c r="A19" s="85">
        <v>8</v>
      </c>
      <c r="B19" s="86">
        <v>1</v>
      </c>
      <c r="C19" s="87" t="str">
        <f>IFERROR(INDEX(Teilnehmer[LfNr],_xlfn.AGGREGATE(15,6,ROW(Teilnehmer[LfNr])/((Teilnehmer[Paarkür]=A19)),ROW()-18)-1,1),"")</f>
        <v/>
      </c>
      <c r="D19" s="87" t="str">
        <f>IFERROR(VLOOKUP(C19,Teilnehmer[],2,FALSE),"")</f>
        <v/>
      </c>
      <c r="E19" s="87" t="str">
        <f>IFERROR(VLOOKUP(C19,Teilnehmer[],3,FALSE),"")</f>
        <v/>
      </c>
      <c r="F19" s="107" t="str">
        <f>IFERROR(VLOOKUP(C19,Teilnehmer[],5,FALSE),"")</f>
        <v/>
      </c>
      <c r="G19" s="88" t="str">
        <f>IFERROR(VLOOKUP(C19,Teilnehmer[],10,FALSE),"")</f>
        <v/>
      </c>
      <c r="H19" s="81">
        <v>2</v>
      </c>
    </row>
    <row r="20" spans="1:8" s="14" customFormat="1" ht="16.5" customHeight="1" thickBot="1">
      <c r="A20" s="89"/>
      <c r="B20" s="90">
        <v>2</v>
      </c>
      <c r="C20" s="91" t="str">
        <f>IFERROR(INDEX(Teilnehmer[LfNr],_xlfn.AGGREGATE(15,6,ROW(Teilnehmer[LfNr])/((Teilnehmer[Paarkür]=A19)),ROW()-18)-1,1),"")</f>
        <v/>
      </c>
      <c r="D20" s="91" t="str">
        <f>IFERROR(VLOOKUP(C20,Teilnehmer[],2,FALSE),"")</f>
        <v/>
      </c>
      <c r="E20" s="91" t="str">
        <f>IFERROR(VLOOKUP(C20,Teilnehmer[],3,FALSE),"")</f>
        <v/>
      </c>
      <c r="F20" s="108" t="str">
        <f>IFERROR(VLOOKUP(C20,Teilnehmer[],5,FALSE),"")</f>
        <v/>
      </c>
      <c r="G20" s="209" t="str">
        <f>IFERROR(VLOOKUP(C20,Teilnehmer[],10,FALSE),"")</f>
        <v/>
      </c>
      <c r="H20" s="81"/>
    </row>
    <row r="21" spans="1:8" s="14" customFormat="1" ht="16.5" customHeight="1">
      <c r="A21" s="100">
        <v>9</v>
      </c>
      <c r="B21" s="101">
        <v>1</v>
      </c>
      <c r="C21" s="102" t="str">
        <f>IFERROR(INDEX(Teilnehmer[LfNr],_xlfn.AGGREGATE(15,6,ROW(Teilnehmer[LfNr])/((Teilnehmer[Paarkür]=A21)),ROW()-20)-1,1),"")</f>
        <v/>
      </c>
      <c r="D21" s="102" t="str">
        <f>IFERROR(VLOOKUP(C21,Teilnehmer[],2,FALSE),"")</f>
        <v/>
      </c>
      <c r="E21" s="102" t="str">
        <f>IFERROR(VLOOKUP(C21,Teilnehmer[],3,FALSE),"")</f>
        <v/>
      </c>
      <c r="F21" s="109" t="str">
        <f>IFERROR(VLOOKUP(C21,Teilnehmer[],5,FALSE),"")</f>
        <v/>
      </c>
      <c r="G21" s="95" t="str">
        <f>IFERROR(VLOOKUP(C21,Teilnehmer[],10,FALSE),"")</f>
        <v/>
      </c>
      <c r="H21" s="81">
        <v>2</v>
      </c>
    </row>
    <row r="22" spans="1:8" s="14" customFormat="1" ht="16.5" customHeight="1" thickBot="1">
      <c r="A22" s="103"/>
      <c r="B22" s="97">
        <v>2</v>
      </c>
      <c r="C22" s="98" t="str">
        <f>IFERROR(INDEX(Teilnehmer[LfNr],_xlfn.AGGREGATE(15,6,ROW(Teilnehmer[LfNr])/((Teilnehmer[Paarkür]=A21)),ROW()-20)-1,1),"")</f>
        <v/>
      </c>
      <c r="D22" s="98" t="str">
        <f>IFERROR(VLOOKUP(C22,Teilnehmer[],2,FALSE),"")</f>
        <v/>
      </c>
      <c r="E22" s="98" t="str">
        <f>IFERROR(VLOOKUP(C22,Teilnehmer[],3,FALSE),"")</f>
        <v/>
      </c>
      <c r="F22" s="106" t="str">
        <f>IFERROR(VLOOKUP(C22,Teilnehmer[],5,FALSE),"")</f>
        <v/>
      </c>
      <c r="G22" s="208" t="str">
        <f>IFERROR(VLOOKUP(C22,Teilnehmer[],10,FALSE),"")</f>
        <v/>
      </c>
      <c r="H22" s="81"/>
    </row>
    <row r="23" spans="1:8" s="14" customFormat="1" ht="16.5" customHeight="1">
      <c r="A23" s="85">
        <v>10</v>
      </c>
      <c r="B23" s="86">
        <v>1</v>
      </c>
      <c r="C23" s="87" t="str">
        <f>IFERROR(INDEX(Teilnehmer[LfNr],_xlfn.AGGREGATE(15,6,ROW(Teilnehmer[LfNr])/((Teilnehmer[Paarkür]=A23)),ROW()-22)-1,1),"")</f>
        <v/>
      </c>
      <c r="D23" s="87" t="str">
        <f>IFERROR(VLOOKUP(C23,Teilnehmer[],2,FALSE),"")</f>
        <v/>
      </c>
      <c r="E23" s="87" t="str">
        <f>IFERROR(VLOOKUP(C23,Teilnehmer[],3,FALSE),"")</f>
        <v/>
      </c>
      <c r="F23" s="107" t="str">
        <f>IFERROR(VLOOKUP(C23,Teilnehmer[],5,FALSE),"")</f>
        <v/>
      </c>
      <c r="G23" s="88" t="str">
        <f>IFERROR(VLOOKUP(C23,Teilnehmer[],10,FALSE),"")</f>
        <v/>
      </c>
      <c r="H23" s="81">
        <v>2</v>
      </c>
    </row>
    <row r="24" spans="1:8" s="14" customFormat="1" ht="16.5" customHeight="1" thickBot="1">
      <c r="A24" s="104"/>
      <c r="B24" s="90">
        <v>2</v>
      </c>
      <c r="C24" s="91" t="str">
        <f>IFERROR(INDEX(Teilnehmer[LfNr],_xlfn.AGGREGATE(15,6,ROW(Teilnehmer[LfNr])/((Teilnehmer[Paarkür]=A23)),ROW()-22)-1,1),"")</f>
        <v/>
      </c>
      <c r="D24" s="91" t="str">
        <f>IFERROR(VLOOKUP(C24,Teilnehmer[],2,FALSE),"")</f>
        <v/>
      </c>
      <c r="E24" s="91" t="str">
        <f>IFERROR(VLOOKUP(C24,Teilnehmer[],3,FALSE),"")</f>
        <v/>
      </c>
      <c r="F24" s="108" t="str">
        <f>IFERROR(VLOOKUP(C24,Teilnehmer[],5,FALSE),"")</f>
        <v/>
      </c>
      <c r="G24" s="209" t="str">
        <f>IFERROR(VLOOKUP(C24,Teilnehmer[],10,FALSE),"")</f>
        <v/>
      </c>
      <c r="H24" s="81"/>
    </row>
    <row r="25" spans="1:8" s="14" customFormat="1" ht="16.5" customHeight="1">
      <c r="A25" s="100">
        <v>11</v>
      </c>
      <c r="B25" s="101">
        <v>1</v>
      </c>
      <c r="C25" s="102" t="str">
        <f>IFERROR(INDEX(Teilnehmer[LfNr],_xlfn.AGGREGATE(15,6,ROW(Teilnehmer[LfNr])/((Teilnehmer[Paarkür]=A25)),ROW()-24)-1,1),"")</f>
        <v/>
      </c>
      <c r="D25" s="102" t="str">
        <f>IFERROR(VLOOKUP(C25,Teilnehmer[],2,FALSE),"")</f>
        <v/>
      </c>
      <c r="E25" s="102" t="str">
        <f>IFERROR(VLOOKUP(C25,Teilnehmer[],3,FALSE),"")</f>
        <v/>
      </c>
      <c r="F25" s="109" t="str">
        <f>IFERROR(VLOOKUP(C25,Teilnehmer[],5,FALSE),"")</f>
        <v/>
      </c>
      <c r="G25" s="95" t="str">
        <f>IFERROR(VLOOKUP(C25,Teilnehmer[],10,FALSE),"")</f>
        <v/>
      </c>
      <c r="H25" s="81">
        <v>2</v>
      </c>
    </row>
    <row r="26" spans="1:8" s="14" customFormat="1" ht="16.5" customHeight="1" thickBot="1">
      <c r="A26" s="103"/>
      <c r="B26" s="97">
        <v>2</v>
      </c>
      <c r="C26" s="98" t="str">
        <f>IFERROR(INDEX(Teilnehmer[LfNr],_xlfn.AGGREGATE(15,6,ROW(Teilnehmer[LfNr])/((Teilnehmer[Paarkür]=A25)),ROW()-24)-1,1),"")</f>
        <v/>
      </c>
      <c r="D26" s="98" t="str">
        <f>IFERROR(VLOOKUP(C26,Teilnehmer[],2,FALSE),"")</f>
        <v/>
      </c>
      <c r="E26" s="98" t="str">
        <f>IFERROR(VLOOKUP(C26,Teilnehmer[],3,FALSE),"")</f>
        <v/>
      </c>
      <c r="F26" s="106" t="str">
        <f>IFERROR(VLOOKUP(C26,Teilnehmer[],5,FALSE),"")</f>
        <v/>
      </c>
      <c r="G26" s="208" t="str">
        <f>IFERROR(VLOOKUP(C26,Teilnehmer[],10,FALSE),"")</f>
        <v/>
      </c>
      <c r="H26" s="81"/>
    </row>
    <row r="27" spans="1:8" s="14" customFormat="1" ht="16.5" customHeight="1">
      <c r="A27" s="85">
        <v>12</v>
      </c>
      <c r="B27" s="86">
        <v>1</v>
      </c>
      <c r="C27" s="87" t="str">
        <f>IFERROR(INDEX(Teilnehmer[LfNr],_xlfn.AGGREGATE(15,6,ROW(Teilnehmer[LfNr])/((Teilnehmer[Paarkür]=A27)),ROW()-26)-1,1),"")</f>
        <v/>
      </c>
      <c r="D27" s="87" t="str">
        <f>IFERROR(VLOOKUP(C27,Teilnehmer[],2,FALSE),"")</f>
        <v/>
      </c>
      <c r="E27" s="87" t="str">
        <f>IFERROR(VLOOKUP(C27,Teilnehmer[],3,FALSE),"")</f>
        <v/>
      </c>
      <c r="F27" s="107" t="str">
        <f>IFERROR(VLOOKUP(C27,Teilnehmer[],5,FALSE),"")</f>
        <v/>
      </c>
      <c r="G27" s="88" t="str">
        <f>IFERROR(VLOOKUP(C27,Teilnehmer[],10,FALSE),"")</f>
        <v/>
      </c>
      <c r="H27" s="81">
        <v>2</v>
      </c>
    </row>
    <row r="28" spans="1:8" s="14" customFormat="1" ht="16.5" customHeight="1" thickBot="1">
      <c r="A28" s="89"/>
      <c r="B28" s="90">
        <v>2</v>
      </c>
      <c r="C28" s="91" t="str">
        <f>IFERROR(INDEX(Teilnehmer[LfNr],_xlfn.AGGREGATE(15,6,ROW(Teilnehmer[LfNr])/((Teilnehmer[Paarkür]=A27)),ROW()-26)-1,1),"")</f>
        <v/>
      </c>
      <c r="D28" s="91" t="str">
        <f>IFERROR(VLOOKUP(C28,Teilnehmer[],2,FALSE),"")</f>
        <v/>
      </c>
      <c r="E28" s="91" t="str">
        <f>IFERROR(VLOOKUP(C28,Teilnehmer[],3,FALSE),"")</f>
        <v/>
      </c>
      <c r="F28" s="108" t="str">
        <f>IFERROR(VLOOKUP(C28,Teilnehmer[],5,FALSE),"")</f>
        <v/>
      </c>
      <c r="G28" s="209" t="str">
        <f>IFERROR(VLOOKUP(C28,Teilnehmer[],10,FALSE),"")</f>
        <v/>
      </c>
      <c r="H28" s="81"/>
    </row>
    <row r="29" spans="1:8" s="14" customFormat="1" ht="16.5" customHeight="1">
      <c r="A29" s="100">
        <v>13</v>
      </c>
      <c r="B29" s="101">
        <v>1</v>
      </c>
      <c r="C29" s="102" t="str">
        <f>IFERROR(INDEX(Teilnehmer[LfNr],_xlfn.AGGREGATE(15,6,ROW(Teilnehmer[LfNr])/((Teilnehmer[Paarkür]=A29)),ROW()-28)-1,1),"")</f>
        <v/>
      </c>
      <c r="D29" s="102" t="str">
        <f>IFERROR(VLOOKUP(C29,Teilnehmer[],2,FALSE),"")</f>
        <v/>
      </c>
      <c r="E29" s="102" t="str">
        <f>IFERROR(VLOOKUP(C29,Teilnehmer[],3,FALSE),"")</f>
        <v/>
      </c>
      <c r="F29" s="109" t="str">
        <f>IFERROR(VLOOKUP(C29,Teilnehmer[],5,FALSE),"")</f>
        <v/>
      </c>
      <c r="G29" s="95" t="str">
        <f>IFERROR(VLOOKUP(C29,Teilnehmer[],10,FALSE),"")</f>
        <v/>
      </c>
      <c r="H29" s="81">
        <v>2</v>
      </c>
    </row>
    <row r="30" spans="1:8" s="14" customFormat="1" ht="16.5" customHeight="1" thickBot="1">
      <c r="A30" s="96"/>
      <c r="B30" s="97">
        <v>2</v>
      </c>
      <c r="C30" s="98" t="str">
        <f>IFERROR(INDEX(Teilnehmer[LfNr],_xlfn.AGGREGATE(15,6,ROW(Teilnehmer[LfNr])/((Teilnehmer[Paarkür]=A29)),ROW()-28)-1,1),"")</f>
        <v/>
      </c>
      <c r="D30" s="98" t="str">
        <f>IFERROR(VLOOKUP(C30,Teilnehmer[],2,FALSE),"")</f>
        <v/>
      </c>
      <c r="E30" s="98" t="str">
        <f>IFERROR(VLOOKUP(C30,Teilnehmer[],3,FALSE),"")</f>
        <v/>
      </c>
      <c r="F30" s="106" t="str">
        <f>IFERROR(VLOOKUP(C30,Teilnehmer[],5,FALSE),"")</f>
        <v/>
      </c>
      <c r="G30" s="208" t="str">
        <f>IFERROR(VLOOKUP(C30,Teilnehmer[],10,FALSE),"")</f>
        <v/>
      </c>
      <c r="H30" s="81"/>
    </row>
    <row r="31" spans="1:8" s="14" customFormat="1" ht="16.5" customHeight="1">
      <c r="A31" s="85">
        <v>14</v>
      </c>
      <c r="B31" s="86">
        <v>1</v>
      </c>
      <c r="C31" s="87" t="str">
        <f>IFERROR(INDEX(Teilnehmer[LfNr],_xlfn.AGGREGATE(15,6,ROW(Teilnehmer[LfNr])/((Teilnehmer[Paarkür]=A31)),ROW()-30)-1,1),"")</f>
        <v/>
      </c>
      <c r="D31" s="87" t="str">
        <f>IFERROR(VLOOKUP(C31,Teilnehmer[],2,FALSE),"")</f>
        <v/>
      </c>
      <c r="E31" s="87" t="str">
        <f>IFERROR(VLOOKUP(C31,Teilnehmer[],3,FALSE),"")</f>
        <v/>
      </c>
      <c r="F31" s="107" t="str">
        <f>IFERROR(VLOOKUP(C31,Teilnehmer[],5,FALSE),"")</f>
        <v/>
      </c>
      <c r="G31" s="88" t="str">
        <f>IFERROR(VLOOKUP(C31,Teilnehmer[],10,FALSE),"")</f>
        <v/>
      </c>
      <c r="H31" s="81">
        <v>2</v>
      </c>
    </row>
    <row r="32" spans="1:8" s="14" customFormat="1" ht="16.5" customHeight="1" thickBot="1">
      <c r="A32" s="89"/>
      <c r="B32" s="90">
        <v>2</v>
      </c>
      <c r="C32" s="91" t="str">
        <f>IFERROR(INDEX(Teilnehmer[LfNr],_xlfn.AGGREGATE(15,6,ROW(Teilnehmer[LfNr])/((Teilnehmer[Paarkür]=A31)),ROW()-30)-1,1),"")</f>
        <v/>
      </c>
      <c r="D32" s="91" t="str">
        <f>IFERROR(VLOOKUP(C32,Teilnehmer[],2,FALSE),"")</f>
        <v/>
      </c>
      <c r="E32" s="91" t="str">
        <f>IFERROR(VLOOKUP(C32,Teilnehmer[],3,FALSE),"")</f>
        <v/>
      </c>
      <c r="F32" s="108" t="str">
        <f>IFERROR(VLOOKUP(C32,Teilnehmer[],5,FALSE),"")</f>
        <v/>
      </c>
      <c r="G32" s="209" t="str">
        <f>IFERROR(VLOOKUP(C32,Teilnehmer[],10,FALSE),"")</f>
        <v/>
      </c>
      <c r="H32" s="81"/>
    </row>
    <row r="33" spans="1:8" s="14" customFormat="1" ht="16.5" customHeight="1">
      <c r="A33" s="100">
        <v>15</v>
      </c>
      <c r="B33" s="101">
        <v>1</v>
      </c>
      <c r="C33" s="102" t="str">
        <f>IFERROR(INDEX(Teilnehmer[LfNr],_xlfn.AGGREGATE(15,6,ROW(Teilnehmer[LfNr])/((Teilnehmer[Paarkür]=A33)),ROW()-32)-1,1),"")</f>
        <v/>
      </c>
      <c r="D33" s="102" t="str">
        <f>IFERROR(VLOOKUP(C33,Teilnehmer[],2,FALSE),"")</f>
        <v/>
      </c>
      <c r="E33" s="102" t="str">
        <f>IFERROR(VLOOKUP(C33,Teilnehmer[],3,FALSE),"")</f>
        <v/>
      </c>
      <c r="F33" s="109" t="str">
        <f>IFERROR(VLOOKUP(C33,Teilnehmer[],5,FALSE),"")</f>
        <v/>
      </c>
      <c r="G33" s="95" t="str">
        <f>IFERROR(VLOOKUP(C33,Teilnehmer[],10,FALSE),"")</f>
        <v/>
      </c>
      <c r="H33" s="81">
        <v>2</v>
      </c>
    </row>
    <row r="34" spans="1:8" s="14" customFormat="1" ht="16.5" customHeight="1" thickBot="1">
      <c r="A34" s="96"/>
      <c r="B34" s="97">
        <v>2</v>
      </c>
      <c r="C34" s="98" t="str">
        <f>IFERROR(INDEX(Teilnehmer[LfNr],_xlfn.AGGREGATE(15,6,ROW(Teilnehmer[LfNr])/((Teilnehmer[Paarkür]=A33)),ROW()-32)-1,1),"")</f>
        <v/>
      </c>
      <c r="D34" s="98" t="str">
        <f>IFERROR(VLOOKUP(C34,Teilnehmer[],2,FALSE),"")</f>
        <v/>
      </c>
      <c r="E34" s="98" t="str">
        <f>IFERROR(VLOOKUP(C34,Teilnehmer[],3,FALSE),"")</f>
        <v/>
      </c>
      <c r="F34" s="106" t="str">
        <f>IFERROR(VLOOKUP(C34,Teilnehmer[],5,FALSE),"")</f>
        <v/>
      </c>
      <c r="G34" s="208" t="str">
        <f>IFERROR(VLOOKUP(C34,Teilnehmer[],10,FALSE),"")</f>
        <v/>
      </c>
      <c r="H34" s="81"/>
    </row>
    <row r="35" spans="1:8" s="14" customFormat="1" ht="16.5" customHeight="1">
      <c r="A35" s="85">
        <v>16</v>
      </c>
      <c r="B35" s="86">
        <v>1</v>
      </c>
      <c r="C35" s="87" t="str">
        <f>IFERROR(INDEX(Teilnehmer[LfNr],_xlfn.AGGREGATE(15,6,ROW(Teilnehmer[LfNr])/((Teilnehmer[Paarkür]=A35)),ROW()-34)-1,1),"")</f>
        <v/>
      </c>
      <c r="D35" s="87" t="str">
        <f>IFERROR(VLOOKUP(C35,Teilnehmer[],2,FALSE),"")</f>
        <v/>
      </c>
      <c r="E35" s="87" t="str">
        <f>IFERROR(VLOOKUP(C35,Teilnehmer[],3,FALSE),"")</f>
        <v/>
      </c>
      <c r="F35" s="107" t="str">
        <f>IFERROR(VLOOKUP(C35,Teilnehmer[],5,FALSE),"")</f>
        <v/>
      </c>
      <c r="G35" s="88" t="str">
        <f>IFERROR(VLOOKUP(C35,Teilnehmer[],10,FALSE),"")</f>
        <v/>
      </c>
      <c r="H35" s="81">
        <v>2</v>
      </c>
    </row>
    <row r="36" spans="1:8" s="14" customFormat="1" ht="16.5" customHeight="1" thickBot="1">
      <c r="A36" s="89"/>
      <c r="B36" s="90">
        <v>2</v>
      </c>
      <c r="C36" s="91" t="str">
        <f>IFERROR(INDEX(Teilnehmer[LfNr],_xlfn.AGGREGATE(15,6,ROW(Teilnehmer[LfNr])/((Teilnehmer[Paarkür]=A35)),ROW()-34)-1,1),"")</f>
        <v/>
      </c>
      <c r="D36" s="91" t="str">
        <f>IFERROR(VLOOKUP(C36,Teilnehmer[],2,FALSE),"")</f>
        <v/>
      </c>
      <c r="E36" s="91" t="str">
        <f>IFERROR(VLOOKUP(C36,Teilnehmer[],3,FALSE),"")</f>
        <v/>
      </c>
      <c r="F36" s="108" t="str">
        <f>IFERROR(VLOOKUP(C36,Teilnehmer[],5,FALSE),"")</f>
        <v/>
      </c>
      <c r="G36" s="209" t="str">
        <f>IFERROR(VLOOKUP(C36,Teilnehmer[],10,FALSE),"")</f>
        <v/>
      </c>
      <c r="H36" s="81"/>
    </row>
    <row r="37" spans="1:8" s="14" customFormat="1" ht="16.5" customHeight="1">
      <c r="A37" s="100">
        <v>17</v>
      </c>
      <c r="B37" s="101">
        <v>1</v>
      </c>
      <c r="C37" s="102" t="str">
        <f>IFERROR(INDEX(Teilnehmer[LfNr],_xlfn.AGGREGATE(15,6,ROW(Teilnehmer[LfNr])/((Teilnehmer[Paarkür]=A37)),ROW()-36)-1,1),"")</f>
        <v/>
      </c>
      <c r="D37" s="102" t="str">
        <f>IFERROR(VLOOKUP(C37,Teilnehmer[],2,FALSE),"")</f>
        <v/>
      </c>
      <c r="E37" s="102" t="str">
        <f>IFERROR(VLOOKUP(C37,Teilnehmer[],3,FALSE),"")</f>
        <v/>
      </c>
      <c r="F37" s="109" t="str">
        <f>IFERROR(VLOOKUP(C37,Teilnehmer[],5,FALSE),"")</f>
        <v/>
      </c>
      <c r="G37" s="95" t="str">
        <f>IFERROR(VLOOKUP(C37,Teilnehmer[],10,FALSE),"")</f>
        <v/>
      </c>
      <c r="H37" s="81">
        <v>2</v>
      </c>
    </row>
    <row r="38" spans="1:8" s="14" customFormat="1" ht="16.5" customHeight="1" thickBot="1">
      <c r="A38" s="96"/>
      <c r="B38" s="97">
        <v>2</v>
      </c>
      <c r="C38" s="98" t="str">
        <f>IFERROR(INDEX(Teilnehmer[LfNr],_xlfn.AGGREGATE(15,6,ROW(Teilnehmer[LfNr])/((Teilnehmer[Paarkür]=A37)),ROW()-36)-1,1),"")</f>
        <v/>
      </c>
      <c r="D38" s="98" t="str">
        <f>IFERROR(VLOOKUP(C38,Teilnehmer[],2,FALSE),"")</f>
        <v/>
      </c>
      <c r="E38" s="98" t="str">
        <f>IFERROR(VLOOKUP(C38,Teilnehmer[],3,FALSE),"")</f>
        <v/>
      </c>
      <c r="F38" s="106" t="str">
        <f>IFERROR(VLOOKUP(C38,Teilnehmer[],5,FALSE),"")</f>
        <v/>
      </c>
      <c r="G38" s="208" t="str">
        <f>IFERROR(VLOOKUP(C38,Teilnehmer[],10,FALSE),"")</f>
        <v/>
      </c>
      <c r="H38" s="81"/>
    </row>
    <row r="39" spans="1:8" s="14" customFormat="1" ht="16.5" customHeight="1">
      <c r="A39" s="85">
        <v>18</v>
      </c>
      <c r="B39" s="86">
        <v>1</v>
      </c>
      <c r="C39" s="87" t="str">
        <f>IFERROR(INDEX(Teilnehmer[LfNr],_xlfn.AGGREGATE(15,6,ROW(Teilnehmer[LfNr])/((Teilnehmer[Paarkür]=A39)),ROW()-38)-1,1),"")</f>
        <v/>
      </c>
      <c r="D39" s="87" t="str">
        <f>IFERROR(VLOOKUP(C39,Teilnehmer[],2,FALSE),"")</f>
        <v/>
      </c>
      <c r="E39" s="87" t="str">
        <f>IFERROR(VLOOKUP(C39,Teilnehmer[],3,FALSE),"")</f>
        <v/>
      </c>
      <c r="F39" s="107" t="str">
        <f>IFERROR(VLOOKUP(C39,Teilnehmer[],5,FALSE),"")</f>
        <v/>
      </c>
      <c r="G39" s="88" t="str">
        <f>IFERROR(VLOOKUP(C39,Teilnehmer[],10,FALSE),"")</f>
        <v/>
      </c>
      <c r="H39" s="81">
        <v>2</v>
      </c>
    </row>
    <row r="40" spans="1:8" s="14" customFormat="1" ht="16.5" customHeight="1" thickBot="1">
      <c r="A40" s="89"/>
      <c r="B40" s="90">
        <v>2</v>
      </c>
      <c r="C40" s="91" t="str">
        <f>IFERROR(INDEX(Teilnehmer[LfNr],_xlfn.AGGREGATE(15,6,ROW(Teilnehmer[LfNr])/((Teilnehmer[Paarkür]=A39)),ROW()-38)-1,1),"")</f>
        <v/>
      </c>
      <c r="D40" s="91" t="str">
        <f>IFERROR(VLOOKUP(C40,Teilnehmer[],2,FALSE),"")</f>
        <v/>
      </c>
      <c r="E40" s="91" t="str">
        <f>IFERROR(VLOOKUP(C40,Teilnehmer[],3,FALSE),"")</f>
        <v/>
      </c>
      <c r="F40" s="108" t="str">
        <f>IFERROR(VLOOKUP(C40,Teilnehmer[],5,FALSE),"")</f>
        <v/>
      </c>
      <c r="G40" s="209" t="str">
        <f>IFERROR(VLOOKUP(C40,Teilnehmer[],10,FALSE),"")</f>
        <v/>
      </c>
      <c r="H40" s="81"/>
    </row>
    <row r="41" spans="1:8" s="14" customFormat="1" ht="16.5" customHeight="1">
      <c r="A41" s="100">
        <v>19</v>
      </c>
      <c r="B41" s="101">
        <v>1</v>
      </c>
      <c r="C41" s="102" t="str">
        <f>IFERROR(INDEX(Teilnehmer[LfNr],_xlfn.AGGREGATE(15,6,ROW(Teilnehmer[LfNr])/((Teilnehmer[Paarkür]=A41)),ROW()-40)-1,1),"")</f>
        <v/>
      </c>
      <c r="D41" s="102" t="str">
        <f>IFERROR(VLOOKUP(C41,Teilnehmer[],2,FALSE),"")</f>
        <v/>
      </c>
      <c r="E41" s="102" t="str">
        <f>IFERROR(VLOOKUP(C41,Teilnehmer[],3,FALSE),"")</f>
        <v/>
      </c>
      <c r="F41" s="109" t="str">
        <f>IFERROR(VLOOKUP(C41,Teilnehmer[],5,FALSE),"")</f>
        <v/>
      </c>
      <c r="G41" s="95" t="str">
        <f>IFERROR(VLOOKUP(C41,Teilnehmer[],10,FALSE),"")</f>
        <v/>
      </c>
      <c r="H41" s="81">
        <v>2</v>
      </c>
    </row>
    <row r="42" spans="1:8" s="14" customFormat="1" ht="16.5" customHeight="1" thickBot="1">
      <c r="A42" s="103"/>
      <c r="B42" s="97">
        <v>2</v>
      </c>
      <c r="C42" s="98" t="str">
        <f>IFERROR(INDEX(Teilnehmer[LfNr],_xlfn.AGGREGATE(15,6,ROW(Teilnehmer[LfNr])/((Teilnehmer[Paarkür]=A41)),ROW()-40)-1,1),"")</f>
        <v/>
      </c>
      <c r="D42" s="98" t="str">
        <f>IFERROR(VLOOKUP(C42,Teilnehmer[],2,FALSE),"")</f>
        <v/>
      </c>
      <c r="E42" s="98" t="str">
        <f>IFERROR(VLOOKUP(C42,Teilnehmer[],3,FALSE),"")</f>
        <v/>
      </c>
      <c r="F42" s="106" t="str">
        <f>IFERROR(VLOOKUP(C42,Teilnehmer[],5,FALSE),"")</f>
        <v/>
      </c>
      <c r="G42" s="208" t="str">
        <f>IFERROR(VLOOKUP(C42,Teilnehmer[],10,FALSE),"")</f>
        <v/>
      </c>
      <c r="H42" s="81"/>
    </row>
    <row r="43" spans="1:8" s="14" customFormat="1" ht="16.5" customHeight="1">
      <c r="A43" s="85">
        <v>20</v>
      </c>
      <c r="B43" s="86">
        <v>1</v>
      </c>
      <c r="C43" s="87" t="str">
        <f>IFERROR(INDEX(Teilnehmer[LfNr],_xlfn.AGGREGATE(15,6,ROW(Teilnehmer[LfNr])/((Teilnehmer[Paarkür]=A43)),ROW()-42)-1,1),"")</f>
        <v/>
      </c>
      <c r="D43" s="87" t="str">
        <f>IFERROR(VLOOKUP(C43,Teilnehmer[],2,FALSE),"")</f>
        <v/>
      </c>
      <c r="E43" s="87" t="str">
        <f>IFERROR(VLOOKUP(C43,Teilnehmer[],3,FALSE),"")</f>
        <v/>
      </c>
      <c r="F43" s="107" t="str">
        <f>IFERROR(VLOOKUP(C43,Teilnehmer[],5,FALSE),"")</f>
        <v/>
      </c>
      <c r="G43" s="88" t="str">
        <f>IFERROR(VLOOKUP(C43,Teilnehmer[],10,FALSE),"")</f>
        <v/>
      </c>
      <c r="H43" s="81">
        <v>2</v>
      </c>
    </row>
    <row r="44" spans="1:8" s="14" customFormat="1" ht="16.5" customHeight="1" thickBot="1">
      <c r="A44" s="104"/>
      <c r="B44" s="90">
        <v>2</v>
      </c>
      <c r="C44" s="91" t="str">
        <f>IFERROR(INDEX(Teilnehmer[LfNr],_xlfn.AGGREGATE(15,6,ROW(Teilnehmer[LfNr])/((Teilnehmer[Paarkür]=A43)),ROW()-42)-1,1),"")</f>
        <v/>
      </c>
      <c r="D44" s="91" t="str">
        <f>IFERROR(VLOOKUP(C44,Teilnehmer[],2,FALSE),"")</f>
        <v/>
      </c>
      <c r="E44" s="91" t="str">
        <f>IFERROR(VLOOKUP(C44,Teilnehmer[],3,FALSE),"")</f>
        <v/>
      </c>
      <c r="F44" s="108" t="str">
        <f>IFERROR(VLOOKUP(C44,Teilnehmer[],5,FALSE),"")</f>
        <v/>
      </c>
      <c r="G44" s="209" t="str">
        <f>IFERROR(VLOOKUP(C44,Teilnehmer[],10,FALSE),"")</f>
        <v/>
      </c>
      <c r="H44" s="81"/>
    </row>
    <row r="45" spans="1:8" s="14" customFormat="1" ht="16.5" customHeight="1">
      <c r="A45" s="100">
        <v>21</v>
      </c>
      <c r="B45" s="101">
        <v>1</v>
      </c>
      <c r="C45" s="102" t="str">
        <f>IFERROR(INDEX(Teilnehmer[LfNr],_xlfn.AGGREGATE(15,6,ROW(Teilnehmer[LfNr])/((Teilnehmer[Paarkür]=A45)),ROW()-44)-1,1),"")</f>
        <v/>
      </c>
      <c r="D45" s="102" t="str">
        <f>IFERROR(VLOOKUP(C45,Teilnehmer[],2,FALSE),"")</f>
        <v/>
      </c>
      <c r="E45" s="102" t="str">
        <f>IFERROR(VLOOKUP(C45,Teilnehmer[],3,FALSE),"")</f>
        <v/>
      </c>
      <c r="F45" s="109" t="str">
        <f>IFERROR(VLOOKUP(C45,Teilnehmer[],5,FALSE),"")</f>
        <v/>
      </c>
      <c r="G45" s="95" t="str">
        <f>IFERROR(VLOOKUP(C45,Teilnehmer[],10,FALSE),"")</f>
        <v/>
      </c>
      <c r="H45" s="81">
        <v>2</v>
      </c>
    </row>
    <row r="46" spans="1:8" s="14" customFormat="1" ht="16.5" customHeight="1" thickBot="1">
      <c r="A46" s="103"/>
      <c r="B46" s="97">
        <v>2</v>
      </c>
      <c r="C46" s="98" t="str">
        <f>IFERROR(INDEX(Teilnehmer[LfNr],_xlfn.AGGREGATE(15,6,ROW(Teilnehmer[LfNr])/((Teilnehmer[Paarkür]=A45)),ROW()-44)-1,1),"")</f>
        <v/>
      </c>
      <c r="D46" s="98" t="str">
        <f>IFERROR(VLOOKUP(C46,Teilnehmer[],2,FALSE),"")</f>
        <v/>
      </c>
      <c r="E46" s="98" t="str">
        <f>IFERROR(VLOOKUP(C46,Teilnehmer[],3,FALSE),"")</f>
        <v/>
      </c>
      <c r="F46" s="106" t="str">
        <f>IFERROR(VLOOKUP(C46,Teilnehmer[],5,FALSE),"")</f>
        <v/>
      </c>
      <c r="G46" s="99" t="str">
        <f>IFERROR(VLOOKUP(C46,Teilnehmer[],10,FALSE),"")</f>
        <v/>
      </c>
      <c r="H46" s="81"/>
    </row>
  </sheetData>
  <sheetProtection algorithmName="SHA-512" hashValue="h6TmQwmvZdJMsv9dM0LKuNfQdAe6Ytyz/IaHlzfbu42E50JsbBRMl5RkiCyvoUQHuecpQsGK2LVpdQ1OeNfetg==" saltValue="nFxATZzBw8Swoo/oAXt0Qg==" spinCount="100000" sheet="1" objects="1" selectLockedCells="1"/>
  <dataValidations count="1">
    <dataValidation showDropDown="1" showInputMessage="1" showErrorMessage="1" sqref="C5:G46" xr:uid="{00000000-0002-0000-0A00-000000000000}"/>
  </dataValidations>
  <pageMargins left="0.70866141732283472" right="0.70866141732283472" top="0.78740157480314965" bottom="0.62992125984251968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theme="0" tint="-0.249977111117893"/>
  </sheetPr>
  <dimension ref="A1:M59"/>
  <sheetViews>
    <sheetView showGridLines="0" showRowColHeaders="0" zoomScaleNormal="100" workbookViewId="0">
      <selection activeCell="C5" sqref="C5:E5"/>
    </sheetView>
  </sheetViews>
  <sheetFormatPr baseColWidth="10" defaultColWidth="11.5703125" defaultRowHeight="15"/>
  <cols>
    <col min="1" max="1" width="7.28515625" style="7" customWidth="1"/>
    <col min="2" max="2" width="7.7109375" style="7" customWidth="1"/>
    <col min="3" max="4" width="20.7109375" style="7" customWidth="1"/>
    <col min="5" max="5" width="9.5703125" style="7" customWidth="1"/>
    <col min="6" max="6" width="10.7109375" style="7" customWidth="1"/>
    <col min="7" max="7" width="7.28515625" style="7" customWidth="1"/>
    <col min="8" max="8" width="7.7109375" style="7" customWidth="1"/>
    <col min="9" max="10" width="20.7109375" style="7" customWidth="1"/>
    <col min="11" max="11" width="11.5703125" style="7"/>
    <col min="12" max="12" width="18.140625" style="7" customWidth="1"/>
    <col min="13" max="16384" width="11.5703125" style="7"/>
  </cols>
  <sheetData>
    <row r="1" spans="1:13" ht="40.15" customHeight="1">
      <c r="A1" s="191" t="s">
        <v>74</v>
      </c>
      <c r="C1" s="8"/>
      <c r="D1" s="8"/>
      <c r="G1" s="8"/>
      <c r="H1" s="8"/>
      <c r="I1" s="8"/>
      <c r="J1" s="8"/>
      <c r="K1" s="8"/>
    </row>
    <row r="2" spans="1:13" ht="19.899999999999999" customHeight="1">
      <c r="A2" s="115" t="s">
        <v>46</v>
      </c>
      <c r="C2" s="6"/>
      <c r="D2" s="192">
        <f>Meldung!V1</f>
        <v>45038</v>
      </c>
      <c r="E2" s="327">
        <f>Deckblatt!C3</f>
        <v>45039</v>
      </c>
      <c r="F2" s="327"/>
      <c r="G2" s="6"/>
      <c r="H2" s="6"/>
      <c r="I2" s="9"/>
      <c r="J2" s="6"/>
      <c r="K2" s="9"/>
    </row>
    <row r="3" spans="1:13" ht="15" customHeight="1" thickBot="1">
      <c r="A3" s="57"/>
      <c r="B3" s="57"/>
      <c r="C3" s="57"/>
      <c r="E3" s="57"/>
      <c r="F3" s="6"/>
      <c r="G3" s="6"/>
      <c r="H3" s="6"/>
      <c r="I3" s="6"/>
      <c r="J3" s="57"/>
      <c r="K3" s="6"/>
    </row>
    <row r="4" spans="1:13" ht="20.25" thickTop="1" thickBot="1">
      <c r="A4" s="58" t="s">
        <v>9</v>
      </c>
      <c r="B4" s="59"/>
      <c r="C4" s="199" t="str">
        <f>IFERROR(IF(Deckblatt!C8=0,"",Deckblatt!C8),"")</f>
        <v/>
      </c>
      <c r="D4" s="59"/>
      <c r="E4" s="56" t="s">
        <v>22</v>
      </c>
      <c r="F4" s="6"/>
    </row>
    <row r="5" spans="1:13" s="60" customFormat="1" ht="25.15" customHeight="1" thickBot="1">
      <c r="A5" s="61" t="s">
        <v>47</v>
      </c>
      <c r="B5" s="29"/>
      <c r="C5" s="330"/>
      <c r="D5" s="331"/>
      <c r="E5" s="332"/>
      <c r="F5" s="23"/>
      <c r="H5" s="14"/>
      <c r="M5" s="16"/>
    </row>
    <row r="6" spans="1:13" ht="19.899999999999999" customHeight="1">
      <c r="A6" s="30" t="s">
        <v>43</v>
      </c>
      <c r="B6" s="48" t="s">
        <v>48</v>
      </c>
      <c r="C6" s="49" t="s">
        <v>3</v>
      </c>
      <c r="D6" s="49" t="s">
        <v>4</v>
      </c>
      <c r="E6" s="50" t="s">
        <v>44</v>
      </c>
      <c r="F6" s="10"/>
      <c r="L6" s="1"/>
    </row>
    <row r="7" spans="1:13" ht="15.6" customHeight="1">
      <c r="A7" s="62">
        <v>1</v>
      </c>
      <c r="B7" s="63" t="str">
        <f>IFERROR(INDEX(Teilnehmer[LfNr],_xlfn.AGGREGATE(15,6,ROW(Teilnehmer[LfNr])/((Teilnehmer[Kleingruppe]=$E$4)),ROW()-6)-1,1),"")</f>
        <v/>
      </c>
      <c r="C7" s="64" t="str">
        <f>IFERROR(VLOOKUP(B7,Teilnehmer[],2,FALSE),"")</f>
        <v/>
      </c>
      <c r="D7" s="64" t="str">
        <f>IFERROR(VLOOKUP(B7,Teilnehmer[],3,FALSE),"")</f>
        <v/>
      </c>
      <c r="E7" s="65" t="str">
        <f>IFERROR(VLOOKUP(B7,Teilnehmer[],5,FALSE),"")</f>
        <v/>
      </c>
      <c r="F7" s="10"/>
      <c r="L7" s="1"/>
    </row>
    <row r="8" spans="1:13" ht="15.6" customHeight="1">
      <c r="A8" s="62">
        <f>A7+1</f>
        <v>2</v>
      </c>
      <c r="B8" s="63" t="str">
        <f>IFERROR(INDEX(Teilnehmer[LfNr],_xlfn.AGGREGATE(15,6,ROW(Teilnehmer[LfNr])/((Teilnehmer[Kleingruppe]=$E$4)),ROW()-6)-1,1),"")</f>
        <v/>
      </c>
      <c r="C8" s="64" t="str">
        <f>IFERROR(VLOOKUP(B8,Teilnehmer[],2,FALSE),"")</f>
        <v/>
      </c>
      <c r="D8" s="64" t="str">
        <f>IFERROR(VLOOKUP(B8,Teilnehmer[],3,FALSE),"")</f>
        <v/>
      </c>
      <c r="E8" s="65" t="str">
        <f>IFERROR(VLOOKUP(B8,Teilnehmer[],5,FALSE),"")</f>
        <v/>
      </c>
      <c r="F8" s="10"/>
      <c r="L8" s="1"/>
    </row>
    <row r="9" spans="1:13" ht="15.6" customHeight="1">
      <c r="A9" s="62">
        <f t="shared" ref="A9:A14" si="0">A8+1</f>
        <v>3</v>
      </c>
      <c r="B9" s="63" t="str">
        <f>IFERROR(INDEX(Teilnehmer[LfNr],_xlfn.AGGREGATE(15,6,ROW(Teilnehmer[LfNr])/((Teilnehmer[Kleingruppe]=$E$4)),ROW()-6)-1,1),"")</f>
        <v/>
      </c>
      <c r="C9" s="64" t="str">
        <f>IFERROR(VLOOKUP(B9,Teilnehmer[],2,FALSE),"")</f>
        <v/>
      </c>
      <c r="D9" s="64" t="str">
        <f>IFERROR(VLOOKUP(B9,Teilnehmer[],3,FALSE),"")</f>
        <v/>
      </c>
      <c r="E9" s="65" t="str">
        <f>IFERROR(VLOOKUP(B9,Teilnehmer[],5,FALSE),"")</f>
        <v/>
      </c>
      <c r="F9" s="10"/>
      <c r="L9" s="1"/>
    </row>
    <row r="10" spans="1:13" ht="15.6" customHeight="1">
      <c r="A10" s="62">
        <f t="shared" si="0"/>
        <v>4</v>
      </c>
      <c r="B10" s="63" t="str">
        <f>IFERROR(INDEX(Teilnehmer[LfNr],_xlfn.AGGREGATE(15,6,ROW(Teilnehmer[LfNr])/((Teilnehmer[Kleingruppe]=$E$4)),ROW()-6)-1,1),"")</f>
        <v/>
      </c>
      <c r="C10" s="64" t="str">
        <f>IFERROR(VLOOKUP(B10,Teilnehmer[],2,FALSE),"")</f>
        <v/>
      </c>
      <c r="D10" s="64" t="str">
        <f>IFERROR(VLOOKUP(B10,Teilnehmer[],3,FALSE),"")</f>
        <v/>
      </c>
      <c r="E10" s="65" t="str">
        <f>IFERROR(VLOOKUP(B10,Teilnehmer[],5,FALSE),"")</f>
        <v/>
      </c>
      <c r="F10" s="10"/>
      <c r="L10" s="1"/>
    </row>
    <row r="11" spans="1:13" ht="15.6" customHeight="1">
      <c r="A11" s="62">
        <f t="shared" si="0"/>
        <v>5</v>
      </c>
      <c r="B11" s="63" t="str">
        <f>IFERROR(INDEX(Teilnehmer[LfNr],_xlfn.AGGREGATE(15,6,ROW(Teilnehmer[LfNr])/((Teilnehmer[Kleingruppe]=$E$4)),ROW()-6)-1,1),"")</f>
        <v/>
      </c>
      <c r="C11" s="64" t="str">
        <f>IFERROR(VLOOKUP(B11,Teilnehmer[],2,FALSE),"")</f>
        <v/>
      </c>
      <c r="D11" s="64" t="str">
        <f>IFERROR(VLOOKUP(B11,Teilnehmer[],3,FALSE),"")</f>
        <v/>
      </c>
      <c r="E11" s="65" t="str">
        <f>IFERROR(VLOOKUP(B11,Teilnehmer[],5,FALSE),"")</f>
        <v/>
      </c>
      <c r="F11" s="10"/>
      <c r="L11" s="1"/>
    </row>
    <row r="12" spans="1:13" ht="15.6" customHeight="1">
      <c r="A12" s="62">
        <f t="shared" si="0"/>
        <v>6</v>
      </c>
      <c r="B12" s="63" t="str">
        <f>IFERROR(INDEX(Teilnehmer[LfNr],_xlfn.AGGREGATE(15,6,ROW(Teilnehmer[LfNr])/((Teilnehmer[Kleingruppe]=$E$4)),ROW()-6)-1,1),"")</f>
        <v/>
      </c>
      <c r="C12" s="64" t="str">
        <f>IFERROR(VLOOKUP(B12,Teilnehmer[],2,FALSE),"")</f>
        <v/>
      </c>
      <c r="D12" s="64" t="str">
        <f>IFERROR(VLOOKUP(B12,Teilnehmer[],3,FALSE),"")</f>
        <v/>
      </c>
      <c r="E12" s="65" t="str">
        <f>IFERROR(VLOOKUP(B12,Teilnehmer[],5,FALSE),"")</f>
        <v/>
      </c>
      <c r="F12" s="10"/>
      <c r="L12" s="1"/>
    </row>
    <row r="13" spans="1:13" ht="15.6" customHeight="1">
      <c r="A13" s="62">
        <f t="shared" si="0"/>
        <v>7</v>
      </c>
      <c r="B13" s="63" t="str">
        <f>IFERROR(INDEX(Teilnehmer[LfNr],_xlfn.AGGREGATE(15,6,ROW(Teilnehmer[LfNr])/((Teilnehmer[Kleingruppe]=$E$4)),ROW()-6)-1,1),"")</f>
        <v/>
      </c>
      <c r="C13" s="64" t="str">
        <f>IFERROR(VLOOKUP(B13,Teilnehmer[],2,FALSE),"")</f>
        <v/>
      </c>
      <c r="D13" s="64" t="str">
        <f>IFERROR(VLOOKUP(B13,Teilnehmer[],3,FALSE),"")</f>
        <v/>
      </c>
      <c r="E13" s="65" t="str">
        <f>IFERROR(VLOOKUP(B13,Teilnehmer[],5,FALSE),"")</f>
        <v/>
      </c>
      <c r="F13" s="10"/>
      <c r="L13" s="1"/>
    </row>
    <row r="14" spans="1:13" ht="15.6" customHeight="1">
      <c r="A14" s="62">
        <f t="shared" si="0"/>
        <v>8</v>
      </c>
      <c r="B14" s="63" t="str">
        <f>IFERROR(INDEX(Teilnehmer[LfNr],_xlfn.AGGREGATE(15,6,ROW(Teilnehmer[LfNr])/((Teilnehmer[Kleingruppe]=$E$4)),ROW()-6)-1,1),"")</f>
        <v/>
      </c>
      <c r="C14" s="64" t="str">
        <f>IFERROR(VLOOKUP(B14,Teilnehmer[],2,FALSE),"")</f>
        <v/>
      </c>
      <c r="D14" s="64" t="str">
        <f>IFERROR(VLOOKUP(B14,Teilnehmer[],3,FALSE),"")</f>
        <v/>
      </c>
      <c r="E14" s="65" t="str">
        <f>IFERROR(VLOOKUP(B14,Teilnehmer[],5,FALSE),"")</f>
        <v/>
      </c>
      <c r="F14" s="10"/>
      <c r="L14" s="1"/>
    </row>
    <row r="15" spans="1:13" ht="15.6" customHeight="1">
      <c r="A15" s="62" t="s">
        <v>49</v>
      </c>
      <c r="B15" s="63" t="str">
        <f>IFERROR(INDEX(Teilnehmer[LfNr],_xlfn.AGGREGATE(15,6,ROW(Teilnehmer[LfNr])/((Teilnehmer[Kleingruppe]=$E$4)),ROW()-6)-1,1),"")</f>
        <v/>
      </c>
      <c r="C15" s="64" t="str">
        <f>IFERROR(VLOOKUP(B15,Teilnehmer[],2,FALSE),"")</f>
        <v/>
      </c>
      <c r="D15" s="64" t="str">
        <f>IFERROR(VLOOKUP(B15,Teilnehmer[],3,FALSE),"")</f>
        <v/>
      </c>
      <c r="E15" s="65" t="str">
        <f>IFERROR(VLOOKUP(B15,Teilnehmer[],5,FALSE),"")</f>
        <v/>
      </c>
      <c r="F15" s="10"/>
      <c r="L15" s="1"/>
    </row>
    <row r="16" spans="1:13" ht="15.6" customHeight="1" thickBot="1">
      <c r="A16" s="66" t="s">
        <v>49</v>
      </c>
      <c r="B16" s="67" t="str">
        <f>IFERROR(INDEX(Teilnehmer[LfNr],_xlfn.AGGREGATE(15,6,ROW(Teilnehmer[LfNr])/((Teilnehmer[Kleingruppe]=$E$4)),ROW()-6)-1,1),"")</f>
        <v/>
      </c>
      <c r="C16" s="68" t="str">
        <f>IFERROR(VLOOKUP(B16,Teilnehmer[],2,FALSE),"")</f>
        <v/>
      </c>
      <c r="D16" s="68" t="str">
        <f>IFERROR(VLOOKUP(B16,Teilnehmer[],3,FALSE),"")</f>
        <v/>
      </c>
      <c r="E16" s="69" t="str">
        <f>IFERROR(VLOOKUP(B16,Teilnehmer[],5,FALSE),"")</f>
        <v/>
      </c>
      <c r="F16" s="10"/>
      <c r="L16" s="1"/>
    </row>
    <row r="17" spans="1:6" ht="16.5" thickTop="1" thickBot="1"/>
    <row r="18" spans="1:6" ht="20.25" thickTop="1" thickBot="1">
      <c r="A18" s="58" t="s">
        <v>9</v>
      </c>
      <c r="B18" s="59"/>
      <c r="C18" s="199" t="str">
        <f>IFERROR(IF(Deckblatt!C8=0,"",Deckblatt!C8),"")</f>
        <v/>
      </c>
      <c r="D18" s="59"/>
      <c r="E18" s="56" t="s">
        <v>23</v>
      </c>
      <c r="F18" s="6"/>
    </row>
    <row r="19" spans="1:6" ht="25.15" customHeight="1" thickBot="1">
      <c r="A19" s="61" t="s">
        <v>47</v>
      </c>
      <c r="B19" s="29"/>
      <c r="C19" s="333"/>
      <c r="D19" s="334"/>
      <c r="E19" s="335"/>
      <c r="F19" s="23"/>
    </row>
    <row r="20" spans="1:6" ht="19.899999999999999" customHeight="1">
      <c r="A20" s="30" t="s">
        <v>43</v>
      </c>
      <c r="B20" s="48" t="s">
        <v>48</v>
      </c>
      <c r="C20" s="49" t="s">
        <v>3</v>
      </c>
      <c r="D20" s="49" t="s">
        <v>4</v>
      </c>
      <c r="E20" s="50" t="s">
        <v>44</v>
      </c>
      <c r="F20" s="10"/>
    </row>
    <row r="21" spans="1:6" ht="15.6" customHeight="1">
      <c r="A21" s="62">
        <v>1</v>
      </c>
      <c r="B21" s="63" t="str">
        <f>IFERROR(INDEX(Teilnehmer[LfNr],_xlfn.AGGREGATE(15,6,ROW(Teilnehmer[LfNr])/((Teilnehmer[Kleingruppe]=$E$18)),ROW()-20)-1,1),"")</f>
        <v/>
      </c>
      <c r="C21" s="64" t="str">
        <f>IFERROR(VLOOKUP(B21,Teilnehmer[],2,FALSE),"")</f>
        <v/>
      </c>
      <c r="D21" s="64" t="str">
        <f>IFERROR(VLOOKUP(B21,Teilnehmer[],3,FALSE),"")</f>
        <v/>
      </c>
      <c r="E21" s="65" t="str">
        <f>IFERROR(VLOOKUP(B21,Teilnehmer[],5,FALSE),"")</f>
        <v/>
      </c>
      <c r="F21" s="10"/>
    </row>
    <row r="22" spans="1:6" ht="15.6" customHeight="1">
      <c r="A22" s="62">
        <f>A21+1</f>
        <v>2</v>
      </c>
      <c r="B22" s="63" t="str">
        <f>IFERROR(INDEX(Teilnehmer[LfNr],_xlfn.AGGREGATE(15,6,ROW(Teilnehmer[LfNr])/((Teilnehmer[Kleingruppe]=$E$18)),ROW()-20)-1,1),"")</f>
        <v/>
      </c>
      <c r="C22" s="64" t="str">
        <f>IFERROR(VLOOKUP(B22,Teilnehmer[],2,FALSE),"")</f>
        <v/>
      </c>
      <c r="D22" s="64" t="str">
        <f>IFERROR(VLOOKUP(B22,Teilnehmer[],3,FALSE),"")</f>
        <v/>
      </c>
      <c r="E22" s="65" t="str">
        <f>IFERROR(VLOOKUP(B22,Teilnehmer[],5,FALSE),"")</f>
        <v/>
      </c>
      <c r="F22" s="10"/>
    </row>
    <row r="23" spans="1:6" ht="15.6" customHeight="1">
      <c r="A23" s="62">
        <f t="shared" ref="A23:A28" si="1">A22+1</f>
        <v>3</v>
      </c>
      <c r="B23" s="63" t="str">
        <f>IFERROR(INDEX(Teilnehmer[LfNr],_xlfn.AGGREGATE(15,6,ROW(Teilnehmer[LfNr])/((Teilnehmer[Kleingruppe]=$E$18)),ROW()-20)-1,1),"")</f>
        <v/>
      </c>
      <c r="C23" s="64" t="str">
        <f>IFERROR(VLOOKUP(B23,Teilnehmer[],2,FALSE),"")</f>
        <v/>
      </c>
      <c r="D23" s="64" t="str">
        <f>IFERROR(VLOOKUP(B23,Teilnehmer[],3,FALSE),"")</f>
        <v/>
      </c>
      <c r="E23" s="65" t="str">
        <f>IFERROR(VLOOKUP(B23,Teilnehmer[],5,FALSE),"")</f>
        <v/>
      </c>
      <c r="F23" s="10"/>
    </row>
    <row r="24" spans="1:6" ht="15.6" customHeight="1">
      <c r="A24" s="62">
        <f t="shared" si="1"/>
        <v>4</v>
      </c>
      <c r="B24" s="63" t="str">
        <f>IFERROR(INDEX(Teilnehmer[LfNr],_xlfn.AGGREGATE(15,6,ROW(Teilnehmer[LfNr])/((Teilnehmer[Kleingruppe]=$E$18)),ROW()-20)-1,1),"")</f>
        <v/>
      </c>
      <c r="C24" s="64" t="str">
        <f>IFERROR(VLOOKUP(B24,Teilnehmer[],2,FALSE),"")</f>
        <v/>
      </c>
      <c r="D24" s="64" t="str">
        <f>IFERROR(VLOOKUP(B24,Teilnehmer[],3,FALSE),"")</f>
        <v/>
      </c>
      <c r="E24" s="65" t="str">
        <f>IFERROR(VLOOKUP(B24,Teilnehmer[],5,FALSE),"")</f>
        <v/>
      </c>
      <c r="F24" s="10"/>
    </row>
    <row r="25" spans="1:6" ht="15.6" customHeight="1">
      <c r="A25" s="62">
        <f t="shared" si="1"/>
        <v>5</v>
      </c>
      <c r="B25" s="63" t="str">
        <f>IFERROR(INDEX(Teilnehmer[LfNr],_xlfn.AGGREGATE(15,6,ROW(Teilnehmer[LfNr])/((Teilnehmer[Kleingruppe]=$E$18)),ROW()-20)-1,1),"")</f>
        <v/>
      </c>
      <c r="C25" s="64" t="str">
        <f>IFERROR(VLOOKUP(B25,Teilnehmer[],2,FALSE),"")</f>
        <v/>
      </c>
      <c r="D25" s="64" t="str">
        <f>IFERROR(VLOOKUP(B25,Teilnehmer[],3,FALSE),"")</f>
        <v/>
      </c>
      <c r="E25" s="65" t="str">
        <f>IFERROR(VLOOKUP(B25,Teilnehmer[],5,FALSE),"")</f>
        <v/>
      </c>
      <c r="F25" s="10"/>
    </row>
    <row r="26" spans="1:6" ht="15.6" customHeight="1">
      <c r="A26" s="62">
        <f t="shared" si="1"/>
        <v>6</v>
      </c>
      <c r="B26" s="63" t="str">
        <f>IFERROR(INDEX(Teilnehmer[LfNr],_xlfn.AGGREGATE(15,6,ROW(Teilnehmer[LfNr])/((Teilnehmer[Kleingruppe]=$E$18)),ROW()-20)-1,1),"")</f>
        <v/>
      </c>
      <c r="C26" s="64" t="str">
        <f>IFERROR(VLOOKUP(B26,Teilnehmer[],2,FALSE),"")</f>
        <v/>
      </c>
      <c r="D26" s="64" t="str">
        <f>IFERROR(VLOOKUP(B26,Teilnehmer[],3,FALSE),"")</f>
        <v/>
      </c>
      <c r="E26" s="65" t="str">
        <f>IFERROR(VLOOKUP(B26,Teilnehmer[],5,FALSE),"")</f>
        <v/>
      </c>
      <c r="F26" s="10"/>
    </row>
    <row r="27" spans="1:6" ht="15.6" customHeight="1">
      <c r="A27" s="62">
        <f t="shared" si="1"/>
        <v>7</v>
      </c>
      <c r="B27" s="63" t="str">
        <f>IFERROR(INDEX(Teilnehmer[LfNr],_xlfn.AGGREGATE(15,6,ROW(Teilnehmer[LfNr])/((Teilnehmer[Kleingruppe]=$E$18)),ROW()-20)-1,1),"")</f>
        <v/>
      </c>
      <c r="C27" s="64" t="str">
        <f>IFERROR(VLOOKUP(B27,Teilnehmer[],2,FALSE),"")</f>
        <v/>
      </c>
      <c r="D27" s="64" t="str">
        <f>IFERROR(VLOOKUP(B27,Teilnehmer[],3,FALSE),"")</f>
        <v/>
      </c>
      <c r="E27" s="65" t="str">
        <f>IFERROR(VLOOKUP(B27,Teilnehmer[],5,FALSE),"")</f>
        <v/>
      </c>
      <c r="F27" s="10"/>
    </row>
    <row r="28" spans="1:6" ht="15.6" customHeight="1">
      <c r="A28" s="62">
        <f t="shared" si="1"/>
        <v>8</v>
      </c>
      <c r="B28" s="63" t="str">
        <f>IFERROR(INDEX(Teilnehmer[LfNr],_xlfn.AGGREGATE(15,6,ROW(Teilnehmer[LfNr])/((Teilnehmer[Kleingruppe]=$E$18)),ROW()-20)-1,1),"")</f>
        <v/>
      </c>
      <c r="C28" s="64" t="str">
        <f>IFERROR(VLOOKUP(B28,Teilnehmer[],2,FALSE),"")</f>
        <v/>
      </c>
      <c r="D28" s="64" t="str">
        <f>IFERROR(VLOOKUP(B28,Teilnehmer[],3,FALSE),"")</f>
        <v/>
      </c>
      <c r="E28" s="65" t="str">
        <f>IFERROR(VLOOKUP(B28,Teilnehmer[],5,FALSE),"")</f>
        <v/>
      </c>
      <c r="F28" s="10"/>
    </row>
    <row r="29" spans="1:6" ht="15.6" customHeight="1">
      <c r="A29" s="62" t="s">
        <v>49</v>
      </c>
      <c r="B29" s="63" t="str">
        <f>IFERROR(INDEX(Teilnehmer[LfNr],_xlfn.AGGREGATE(15,6,ROW(Teilnehmer[LfNr])/((Teilnehmer[Kleingruppe]=$E$18)),ROW()-20)-1,1),"")</f>
        <v/>
      </c>
      <c r="C29" s="64" t="str">
        <f>IFERROR(VLOOKUP(B29,Teilnehmer[],2,FALSE),"")</f>
        <v/>
      </c>
      <c r="D29" s="64" t="str">
        <f>IFERROR(VLOOKUP(B29,Teilnehmer[],3,FALSE),"")</f>
        <v/>
      </c>
      <c r="E29" s="65" t="str">
        <f>IFERROR(VLOOKUP(B29,Teilnehmer[],5,FALSE),"")</f>
        <v/>
      </c>
      <c r="F29" s="10"/>
    </row>
    <row r="30" spans="1:6" ht="15.6" customHeight="1" thickBot="1">
      <c r="A30" s="66" t="s">
        <v>49</v>
      </c>
      <c r="B30" s="67" t="str">
        <f>IFERROR(INDEX(Teilnehmer[LfNr],_xlfn.AGGREGATE(15,6,ROW(Teilnehmer[LfNr])/((Teilnehmer[Kleingruppe]=$E$18)),ROW()-20)-1,1),"")</f>
        <v/>
      </c>
      <c r="C30" s="68" t="str">
        <f>IFERROR(VLOOKUP(B30,Teilnehmer[],2,FALSE),"")</f>
        <v/>
      </c>
      <c r="D30" s="68" t="str">
        <f>IFERROR(VLOOKUP(B30,Teilnehmer[],3,FALSE),"")</f>
        <v/>
      </c>
      <c r="E30" s="69" t="str">
        <f>IFERROR(VLOOKUP(B30,Teilnehmer[],5,FALSE),"")</f>
        <v/>
      </c>
      <c r="F30" s="10"/>
    </row>
    <row r="31" spans="1:6" ht="17.25" thickTop="1" thickBot="1">
      <c r="B31" s="79"/>
      <c r="C31" s="11"/>
      <c r="D31" s="11"/>
      <c r="E31" s="11"/>
      <c r="F31" s="1"/>
    </row>
    <row r="32" spans="1:6" ht="19.149999999999999" customHeight="1" thickTop="1" thickBot="1">
      <c r="A32" s="58" t="s">
        <v>9</v>
      </c>
      <c r="B32" s="59"/>
      <c r="C32" s="199" t="str">
        <f>IFERROR(IF(Deckblatt!C8=0,"",Deckblatt!C8),"")</f>
        <v/>
      </c>
      <c r="D32" s="59"/>
      <c r="E32" s="56" t="s">
        <v>36</v>
      </c>
      <c r="F32" s="1"/>
    </row>
    <row r="33" spans="1:6" ht="25.15" customHeight="1" thickBot="1">
      <c r="A33" s="61" t="s">
        <v>47</v>
      </c>
      <c r="B33" s="29"/>
      <c r="C33" s="333"/>
      <c r="D33" s="334"/>
      <c r="E33" s="335"/>
      <c r="F33" s="1"/>
    </row>
    <row r="34" spans="1:6" ht="19.899999999999999" customHeight="1">
      <c r="A34" s="30" t="s">
        <v>43</v>
      </c>
      <c r="B34" s="48" t="s">
        <v>48</v>
      </c>
      <c r="C34" s="49" t="s">
        <v>3</v>
      </c>
      <c r="D34" s="49" t="s">
        <v>4</v>
      </c>
      <c r="E34" s="50" t="s">
        <v>44</v>
      </c>
      <c r="F34" s="1"/>
    </row>
    <row r="35" spans="1:6" ht="15.6" customHeight="1">
      <c r="A35" s="62">
        <v>1</v>
      </c>
      <c r="B35" s="63" t="str">
        <f>IFERROR(INDEX(Teilnehmer[LfNr],_xlfn.AGGREGATE(15,6,ROW(Teilnehmer[LfNr])/((Teilnehmer[Kleingruppe]=$E$32)),ROW()-34)-1,1),"")</f>
        <v/>
      </c>
      <c r="C35" s="64" t="str">
        <f>IFERROR(VLOOKUP(B35,Teilnehmer[],2,FALSE),"")</f>
        <v/>
      </c>
      <c r="D35" s="64" t="str">
        <f>IFERROR(VLOOKUP(B35,Teilnehmer[],3,FALSE),"")</f>
        <v/>
      </c>
      <c r="E35" s="65" t="str">
        <f>IFERROR(VLOOKUP(B35,Teilnehmer[],5,FALSE),"")</f>
        <v/>
      </c>
    </row>
    <row r="36" spans="1:6" ht="15.6" customHeight="1">
      <c r="A36" s="62">
        <f>A35+1</f>
        <v>2</v>
      </c>
      <c r="B36" s="63" t="str">
        <f>IFERROR(INDEX(Teilnehmer[LfNr],_xlfn.AGGREGATE(15,6,ROW(Teilnehmer[LfNr])/((Teilnehmer[Kleingruppe]=$E$32)),ROW()-34)-1,1),"")</f>
        <v/>
      </c>
      <c r="C36" s="64" t="str">
        <f>IFERROR(VLOOKUP(B36,Teilnehmer[],2,FALSE),"")</f>
        <v/>
      </c>
      <c r="D36" s="64" t="str">
        <f>IFERROR(VLOOKUP(B36,Teilnehmer[],3,FALSE),"")</f>
        <v/>
      </c>
      <c r="E36" s="65" t="str">
        <f>IFERROR(VLOOKUP(B36,Teilnehmer[],5,FALSE),"")</f>
        <v/>
      </c>
    </row>
    <row r="37" spans="1:6" ht="15.6" customHeight="1">
      <c r="A37" s="62">
        <f t="shared" ref="A37:A42" si="2">A36+1</f>
        <v>3</v>
      </c>
      <c r="B37" s="63" t="str">
        <f>IFERROR(INDEX(Teilnehmer[LfNr],_xlfn.AGGREGATE(15,6,ROW(Teilnehmer[LfNr])/((Teilnehmer[Kleingruppe]=$E$32)),ROW()-34)-1,1),"")</f>
        <v/>
      </c>
      <c r="C37" s="64" t="str">
        <f>IFERROR(VLOOKUP(B37,Teilnehmer[],2,FALSE),"")</f>
        <v/>
      </c>
      <c r="D37" s="64" t="str">
        <f>IFERROR(VLOOKUP(B37,Teilnehmer[],3,FALSE),"")</f>
        <v/>
      </c>
      <c r="E37" s="65" t="str">
        <f>IFERROR(VLOOKUP(B37,Teilnehmer[],5,FALSE),"")</f>
        <v/>
      </c>
    </row>
    <row r="38" spans="1:6" ht="15.6" customHeight="1">
      <c r="A38" s="62">
        <f t="shared" si="2"/>
        <v>4</v>
      </c>
      <c r="B38" s="63" t="str">
        <f>IFERROR(INDEX(Teilnehmer[LfNr],_xlfn.AGGREGATE(15,6,ROW(Teilnehmer[LfNr])/((Teilnehmer[Kleingruppe]=$E$32)),ROW()-34)-1,1),"")</f>
        <v/>
      </c>
      <c r="C38" s="64" t="str">
        <f>IFERROR(VLOOKUP(B38,Teilnehmer[],2,FALSE),"")</f>
        <v/>
      </c>
      <c r="D38" s="64" t="str">
        <f>IFERROR(VLOOKUP(B38,Teilnehmer[],3,FALSE),"")</f>
        <v/>
      </c>
      <c r="E38" s="65" t="str">
        <f>IFERROR(VLOOKUP(B38,Teilnehmer[],5,FALSE),"")</f>
        <v/>
      </c>
    </row>
    <row r="39" spans="1:6" ht="15.6" customHeight="1">
      <c r="A39" s="62">
        <f t="shared" si="2"/>
        <v>5</v>
      </c>
      <c r="B39" s="63" t="str">
        <f>IFERROR(INDEX(Teilnehmer[LfNr],_xlfn.AGGREGATE(15,6,ROW(Teilnehmer[LfNr])/((Teilnehmer[Kleingruppe]=$E$32)),ROW()-34)-1,1),"")</f>
        <v/>
      </c>
      <c r="C39" s="64" t="str">
        <f>IFERROR(VLOOKUP(B39,Teilnehmer[],2,FALSE),"")</f>
        <v/>
      </c>
      <c r="D39" s="64" t="str">
        <f>IFERROR(VLOOKUP(B39,Teilnehmer[],3,FALSE),"")</f>
        <v/>
      </c>
      <c r="E39" s="65" t="str">
        <f>IFERROR(VLOOKUP(B39,Teilnehmer[],5,FALSE),"")</f>
        <v/>
      </c>
    </row>
    <row r="40" spans="1:6" ht="15.6" customHeight="1">
      <c r="A40" s="62">
        <f t="shared" si="2"/>
        <v>6</v>
      </c>
      <c r="B40" s="63" t="str">
        <f>IFERROR(INDEX(Teilnehmer[LfNr],_xlfn.AGGREGATE(15,6,ROW(Teilnehmer[LfNr])/((Teilnehmer[Kleingruppe]=$E$32)),ROW()-34)-1,1),"")</f>
        <v/>
      </c>
      <c r="C40" s="64" t="str">
        <f>IFERROR(VLOOKUP(B40,Teilnehmer[],2,FALSE),"")</f>
        <v/>
      </c>
      <c r="D40" s="64" t="str">
        <f>IFERROR(VLOOKUP(B40,Teilnehmer[],3,FALSE),"")</f>
        <v/>
      </c>
      <c r="E40" s="65" t="str">
        <f>IFERROR(VLOOKUP(B40,Teilnehmer[],5,FALSE),"")</f>
        <v/>
      </c>
    </row>
    <row r="41" spans="1:6" ht="15.6" customHeight="1">
      <c r="A41" s="62">
        <f t="shared" si="2"/>
        <v>7</v>
      </c>
      <c r="B41" s="63" t="str">
        <f>IFERROR(INDEX(Teilnehmer[LfNr],_xlfn.AGGREGATE(15,6,ROW(Teilnehmer[LfNr])/((Teilnehmer[Kleingruppe]=$E$32)),ROW()-34)-1,1),"")</f>
        <v/>
      </c>
      <c r="C41" s="64" t="str">
        <f>IFERROR(VLOOKUP(B41,Teilnehmer[],2,FALSE),"")</f>
        <v/>
      </c>
      <c r="D41" s="64" t="str">
        <f>IFERROR(VLOOKUP(B41,Teilnehmer[],3,FALSE),"")</f>
        <v/>
      </c>
      <c r="E41" s="65" t="str">
        <f>IFERROR(VLOOKUP(B41,Teilnehmer[],5,FALSE),"")</f>
        <v/>
      </c>
    </row>
    <row r="42" spans="1:6" ht="15.6" customHeight="1">
      <c r="A42" s="62">
        <f t="shared" si="2"/>
        <v>8</v>
      </c>
      <c r="B42" s="63" t="str">
        <f>IFERROR(INDEX(Teilnehmer[LfNr],_xlfn.AGGREGATE(15,6,ROW(Teilnehmer[LfNr])/((Teilnehmer[Kleingruppe]=$E$32)),ROW()-34)-1,1),"")</f>
        <v/>
      </c>
      <c r="C42" s="64" t="str">
        <f>IFERROR(VLOOKUP(B42,Teilnehmer[],2,FALSE),"")</f>
        <v/>
      </c>
      <c r="D42" s="64" t="str">
        <f>IFERROR(VLOOKUP(B42,Teilnehmer[],3,FALSE),"")</f>
        <v/>
      </c>
      <c r="E42" s="65" t="str">
        <f>IFERROR(VLOOKUP(B42,Teilnehmer[],5,FALSE),"")</f>
        <v/>
      </c>
    </row>
    <row r="43" spans="1:6" ht="15.6" customHeight="1">
      <c r="A43" s="62" t="s">
        <v>49</v>
      </c>
      <c r="B43" s="63" t="str">
        <f>IFERROR(INDEX(Teilnehmer[LfNr],_xlfn.AGGREGATE(15,6,ROW(Teilnehmer[LfNr])/((Teilnehmer[Kleingruppe]=$E$32)),ROW()-34)-1,1),"")</f>
        <v/>
      </c>
      <c r="C43" s="64" t="str">
        <f>IFERROR(VLOOKUP(B43,Teilnehmer[],2,FALSE),"")</f>
        <v/>
      </c>
      <c r="D43" s="64" t="str">
        <f>IFERROR(VLOOKUP(B43,Teilnehmer[],3,FALSE),"")</f>
        <v/>
      </c>
      <c r="E43" s="65" t="str">
        <f>IFERROR(VLOOKUP(B43,Teilnehmer[],5,FALSE),"")</f>
        <v/>
      </c>
    </row>
    <row r="44" spans="1:6" ht="15.6" customHeight="1" thickBot="1">
      <c r="A44" s="66" t="s">
        <v>49</v>
      </c>
      <c r="B44" s="67" t="str">
        <f>IFERROR(INDEX(Teilnehmer[LfNr],_xlfn.AGGREGATE(15,6,ROW(Teilnehmer[LfNr])/((Teilnehmer[Kleingruppe]=$E$32)),ROW()-34)-1,1),"")</f>
        <v/>
      </c>
      <c r="C44" s="68" t="str">
        <f>IFERROR(VLOOKUP(B44,Teilnehmer[],2,FALSE),"")</f>
        <v/>
      </c>
      <c r="D44" s="68" t="str">
        <f>IFERROR(VLOOKUP(B44,Teilnehmer[],3,FALSE),"")</f>
        <v/>
      </c>
      <c r="E44" s="69" t="str">
        <f>IFERROR(VLOOKUP(B44,Teilnehmer[],5,FALSE),"")</f>
        <v/>
      </c>
    </row>
    <row r="45" spans="1:6" ht="16.5" thickTop="1" thickBot="1"/>
    <row r="46" spans="1:6" ht="19.149999999999999" customHeight="1" thickTop="1" thickBot="1">
      <c r="A46" s="58" t="s">
        <v>9</v>
      </c>
      <c r="B46" s="59"/>
      <c r="C46" s="199" t="str">
        <f>IFERROR(IF(Deckblatt!C8=0,"",Deckblatt!C8),"")</f>
        <v/>
      </c>
      <c r="D46" s="59"/>
      <c r="E46" s="56" t="s">
        <v>50</v>
      </c>
    </row>
    <row r="47" spans="1:6" ht="25.15" customHeight="1" thickBot="1">
      <c r="A47" s="61" t="s">
        <v>47</v>
      </c>
      <c r="B47" s="29"/>
      <c r="C47" s="333"/>
      <c r="D47" s="334"/>
      <c r="E47" s="335"/>
    </row>
    <row r="48" spans="1:6" ht="19.899999999999999" customHeight="1">
      <c r="A48" s="30" t="s">
        <v>43</v>
      </c>
      <c r="B48" s="48" t="s">
        <v>48</v>
      </c>
      <c r="C48" s="49" t="s">
        <v>3</v>
      </c>
      <c r="D48" s="49" t="s">
        <v>4</v>
      </c>
      <c r="E48" s="50" t="s">
        <v>44</v>
      </c>
    </row>
    <row r="49" spans="1:5" ht="15.6" customHeight="1">
      <c r="A49" s="62">
        <v>1</v>
      </c>
      <c r="B49" s="63" t="str">
        <f>IFERROR(INDEX(Teilnehmer[LfNr],_xlfn.AGGREGATE(15,6,ROW(Teilnehmer[LfNr])/((Teilnehmer[Kleingruppe]=$E$46)),ROW()-48)-1,1),"")</f>
        <v/>
      </c>
      <c r="C49" s="64" t="str">
        <f>IFERROR(VLOOKUP(B49,Teilnehmer[],2,FALSE),"")</f>
        <v/>
      </c>
      <c r="D49" s="64" t="str">
        <f>IFERROR(VLOOKUP(B49,Teilnehmer[],3,FALSE),"")</f>
        <v/>
      </c>
      <c r="E49" s="65" t="str">
        <f>IFERROR(VLOOKUP(B49,Teilnehmer[],5,FALSE),"")</f>
        <v/>
      </c>
    </row>
    <row r="50" spans="1:5" ht="15.6" customHeight="1">
      <c r="A50" s="62">
        <f>A49+1</f>
        <v>2</v>
      </c>
      <c r="B50" s="63" t="str">
        <f>IFERROR(INDEX(Teilnehmer[LfNr],_xlfn.AGGREGATE(15,6,ROW(Teilnehmer[LfNr])/((Teilnehmer[Kleingruppe]=$E$46)),ROW()-48)-1,1),"")</f>
        <v/>
      </c>
      <c r="C50" s="64" t="str">
        <f>IFERROR(VLOOKUP(B50,Teilnehmer[],2,FALSE),"")</f>
        <v/>
      </c>
      <c r="D50" s="64" t="str">
        <f>IFERROR(VLOOKUP(B50,Teilnehmer[],3,FALSE),"")</f>
        <v/>
      </c>
      <c r="E50" s="65" t="str">
        <f>IFERROR(VLOOKUP(B50,Teilnehmer[],5,FALSE),"")</f>
        <v/>
      </c>
    </row>
    <row r="51" spans="1:5" ht="15.6" customHeight="1">
      <c r="A51" s="62">
        <f t="shared" ref="A51:A56" si="3">A50+1</f>
        <v>3</v>
      </c>
      <c r="B51" s="63" t="str">
        <f>IFERROR(INDEX(Teilnehmer[LfNr],_xlfn.AGGREGATE(15,6,ROW(Teilnehmer[LfNr])/((Teilnehmer[Kleingruppe]=$E$46)),ROW()-48)-1,1),"")</f>
        <v/>
      </c>
      <c r="C51" s="64" t="str">
        <f>IFERROR(VLOOKUP(B51,Teilnehmer[],2,FALSE),"")</f>
        <v/>
      </c>
      <c r="D51" s="64" t="str">
        <f>IFERROR(VLOOKUP(B51,Teilnehmer[],3,FALSE),"")</f>
        <v/>
      </c>
      <c r="E51" s="65" t="str">
        <f>IFERROR(VLOOKUP(B51,Teilnehmer[],5,FALSE),"")</f>
        <v/>
      </c>
    </row>
    <row r="52" spans="1:5" ht="15.6" customHeight="1">
      <c r="A52" s="62">
        <f t="shared" si="3"/>
        <v>4</v>
      </c>
      <c r="B52" s="63" t="str">
        <f>IFERROR(INDEX(Teilnehmer[LfNr],_xlfn.AGGREGATE(15,6,ROW(Teilnehmer[LfNr])/((Teilnehmer[Kleingruppe]=$E$46)),ROW()-48)-1,1),"")</f>
        <v/>
      </c>
      <c r="C52" s="64" t="str">
        <f>IFERROR(VLOOKUP(B52,Teilnehmer[],2,FALSE),"")</f>
        <v/>
      </c>
      <c r="D52" s="64" t="str">
        <f>IFERROR(VLOOKUP(B52,Teilnehmer[],3,FALSE),"")</f>
        <v/>
      </c>
      <c r="E52" s="65" t="str">
        <f>IFERROR(VLOOKUP(B52,Teilnehmer[],5,FALSE),"")</f>
        <v/>
      </c>
    </row>
    <row r="53" spans="1:5" ht="15.6" customHeight="1">
      <c r="A53" s="62">
        <f t="shared" si="3"/>
        <v>5</v>
      </c>
      <c r="B53" s="63" t="str">
        <f>IFERROR(INDEX(Teilnehmer[LfNr],_xlfn.AGGREGATE(15,6,ROW(Teilnehmer[LfNr])/((Teilnehmer[Kleingruppe]=$E$46)),ROW()-48)-1,1),"")</f>
        <v/>
      </c>
      <c r="C53" s="64" t="str">
        <f>IFERROR(VLOOKUP(B53,Teilnehmer[],2,FALSE),"")</f>
        <v/>
      </c>
      <c r="D53" s="64" t="str">
        <f>IFERROR(VLOOKUP(B53,Teilnehmer[],3,FALSE),"")</f>
        <v/>
      </c>
      <c r="E53" s="65" t="str">
        <f>IFERROR(VLOOKUP(B53,Teilnehmer[],5,FALSE),"")</f>
        <v/>
      </c>
    </row>
    <row r="54" spans="1:5" ht="15.6" customHeight="1">
      <c r="A54" s="62">
        <f t="shared" si="3"/>
        <v>6</v>
      </c>
      <c r="B54" s="63" t="str">
        <f>IFERROR(INDEX(Teilnehmer[LfNr],_xlfn.AGGREGATE(15,6,ROW(Teilnehmer[LfNr])/((Teilnehmer[Kleingruppe]=$E$46)),ROW()-48)-1,1),"")</f>
        <v/>
      </c>
      <c r="C54" s="64" t="str">
        <f>IFERROR(VLOOKUP(B54,Teilnehmer[],2,FALSE),"")</f>
        <v/>
      </c>
      <c r="D54" s="64" t="str">
        <f>IFERROR(VLOOKUP(B54,Teilnehmer[],3,FALSE),"")</f>
        <v/>
      </c>
      <c r="E54" s="65" t="str">
        <f>IFERROR(VLOOKUP(B54,Teilnehmer[],5,FALSE),"")</f>
        <v/>
      </c>
    </row>
    <row r="55" spans="1:5" ht="15.6" customHeight="1">
      <c r="A55" s="62">
        <f t="shared" si="3"/>
        <v>7</v>
      </c>
      <c r="B55" s="63" t="str">
        <f>IFERROR(INDEX(Teilnehmer[LfNr],_xlfn.AGGREGATE(15,6,ROW(Teilnehmer[LfNr])/((Teilnehmer[Kleingruppe]=$E$46)),ROW()-48)-1,1),"")</f>
        <v/>
      </c>
      <c r="C55" s="64" t="str">
        <f>IFERROR(VLOOKUP(B55,Teilnehmer[],2,FALSE),"")</f>
        <v/>
      </c>
      <c r="D55" s="64" t="str">
        <f>IFERROR(VLOOKUP(B55,Teilnehmer[],3,FALSE),"")</f>
        <v/>
      </c>
      <c r="E55" s="65" t="str">
        <f>IFERROR(VLOOKUP(B55,Teilnehmer[],5,FALSE),"")</f>
        <v/>
      </c>
    </row>
    <row r="56" spans="1:5" ht="15.6" customHeight="1">
      <c r="A56" s="62">
        <f t="shared" si="3"/>
        <v>8</v>
      </c>
      <c r="B56" s="63" t="str">
        <f>IFERROR(INDEX(Teilnehmer[LfNr],_xlfn.AGGREGATE(15,6,ROW(Teilnehmer[LfNr])/((Teilnehmer[Kleingruppe]=$E$46)),ROW()-48)-1,1),"")</f>
        <v/>
      </c>
      <c r="C56" s="64" t="str">
        <f>IFERROR(VLOOKUP(B56,Teilnehmer[],2,FALSE),"")</f>
        <v/>
      </c>
      <c r="D56" s="64" t="str">
        <f>IFERROR(VLOOKUP(B56,Teilnehmer[],3,FALSE),"")</f>
        <v/>
      </c>
      <c r="E56" s="65" t="str">
        <f>IFERROR(VLOOKUP(B56,Teilnehmer[],5,FALSE),"")</f>
        <v/>
      </c>
    </row>
    <row r="57" spans="1:5" ht="15.6" customHeight="1">
      <c r="A57" s="62" t="s">
        <v>49</v>
      </c>
      <c r="B57" s="63" t="str">
        <f>IFERROR(INDEX(Teilnehmer[LfNr],_xlfn.AGGREGATE(15,6,ROW(Teilnehmer[LfNr])/((Teilnehmer[Kleingruppe]=$E$46)),ROW()-48)-1,1),"")</f>
        <v/>
      </c>
      <c r="C57" s="64" t="str">
        <f>IFERROR(VLOOKUP(B57,Teilnehmer[],2,FALSE),"")</f>
        <v/>
      </c>
      <c r="D57" s="64" t="str">
        <f>IFERROR(VLOOKUP(B57,Teilnehmer[],3,FALSE),"")</f>
        <v/>
      </c>
      <c r="E57" s="65" t="str">
        <f>IFERROR(VLOOKUP(B57,Teilnehmer[],5,FALSE),"")</f>
        <v/>
      </c>
    </row>
    <row r="58" spans="1:5" ht="15.6" customHeight="1" thickBot="1">
      <c r="A58" s="66" t="s">
        <v>49</v>
      </c>
      <c r="B58" s="67" t="str">
        <f>IFERROR(INDEX(Teilnehmer[LfNr],_xlfn.AGGREGATE(15,6,ROW(Teilnehmer[LfNr])/((Teilnehmer[Kleingruppe]=$E$46)),ROW()-48)-1,1),"")</f>
        <v/>
      </c>
      <c r="C58" s="68" t="str">
        <f>IFERROR(VLOOKUP(B58,Teilnehmer[],2,FALSE),"")</f>
        <v/>
      </c>
      <c r="D58" s="68" t="str">
        <f>IFERROR(VLOOKUP(B58,Teilnehmer[],3,FALSE),"")</f>
        <v/>
      </c>
      <c r="E58" s="69" t="str">
        <f>IFERROR(VLOOKUP(B58,Teilnehmer[],5,FALSE),"")</f>
        <v/>
      </c>
    </row>
    <row r="59" spans="1:5" ht="15.75" thickTop="1"/>
  </sheetData>
  <sheetProtection algorithmName="SHA-512" hashValue="+b0EtfYVS/dv8py2oREtxs6JiIgxm26XoDYorSrJKcsLCvwLyL3Pz5ykHwv1zWN8gljp1mN9wJHXZWNFvqQIkA==" saltValue="tY6qmz7vj4CYIuqjS3guCg==" spinCount="100000" sheet="1" objects="1" selectLockedCells="1"/>
  <mergeCells count="5">
    <mergeCell ref="E2:F2"/>
    <mergeCell ref="C5:E5"/>
    <mergeCell ref="C19:E19"/>
    <mergeCell ref="C33:E33"/>
    <mergeCell ref="C47:E47"/>
  </mergeCells>
  <conditionalFormatting sqref="C5">
    <cfRule type="expression" dxfId="20" priority="4">
      <formula>AND(ISBLANK(C5),C7&lt;&gt;"")</formula>
    </cfRule>
  </conditionalFormatting>
  <conditionalFormatting sqref="C19">
    <cfRule type="expression" dxfId="19" priority="3">
      <formula>AND(ISBLANK($C$19),$C$21&lt;&gt;"")</formula>
    </cfRule>
  </conditionalFormatting>
  <conditionalFormatting sqref="C33:E33">
    <cfRule type="expression" dxfId="18" priority="2">
      <formula>AND(ISBLANK($C$33),$C$35&lt;&gt;"")</formula>
    </cfRule>
  </conditionalFormatting>
  <conditionalFormatting sqref="C47:E47">
    <cfRule type="expression" dxfId="17" priority="1">
      <formula>AND(ISBLANK($C$47),$C$49&lt;&gt;"")</formula>
    </cfRule>
  </conditionalFormatting>
  <pageMargins left="0.70866141732283472" right="0.70866141732283472" top="0.59055118110236227" bottom="0.59055118110236227" header="0.31496062992125984" footer="0.31496062992125984"/>
  <pageSetup paperSize="9" fitToWidth="0" orientation="portrait" r:id="rId1"/>
  <rowBreaks count="1" manualBreakCount="1">
    <brk id="30" max="6" man="1"/>
  </rowBreaks>
  <drawing r:id="rId2"/>
  <tableParts count="4"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theme="0" tint="-0.249977111117893"/>
  </sheetPr>
  <dimension ref="A1:Q31"/>
  <sheetViews>
    <sheetView showGridLines="0" showRowColHeaders="0" zoomScaleNormal="100" workbookViewId="0">
      <selection activeCell="C5" sqref="C5:E5"/>
    </sheetView>
  </sheetViews>
  <sheetFormatPr baseColWidth="10" defaultColWidth="11.5703125" defaultRowHeight="15"/>
  <cols>
    <col min="1" max="1" width="6.7109375" style="7" customWidth="1"/>
    <col min="2" max="2" width="7.7109375" style="7" customWidth="1"/>
    <col min="3" max="4" width="20.7109375" style="7" customWidth="1"/>
    <col min="5" max="5" width="7.7109375" style="7" customWidth="1"/>
    <col min="6" max="6" width="5.7109375" style="7" customWidth="1"/>
    <col min="7" max="7" width="6.7109375" style="7" customWidth="1"/>
    <col min="8" max="8" width="7.7109375" style="7" customWidth="1"/>
    <col min="9" max="10" width="20.7109375" style="7" customWidth="1"/>
    <col min="11" max="11" width="7.7109375" style="7" customWidth="1"/>
    <col min="12" max="12" width="5.7109375" style="7" customWidth="1"/>
    <col min="13" max="13" width="8.28515625" style="7" customWidth="1"/>
    <col min="14" max="14" width="7.7109375" style="7" customWidth="1"/>
    <col min="15" max="16" width="20.7109375" style="7" customWidth="1"/>
    <col min="17" max="17" width="7.7109375" style="7" customWidth="1"/>
    <col min="18" max="16384" width="11.5703125" style="7"/>
  </cols>
  <sheetData>
    <row r="1" spans="1:17" ht="40.15" customHeight="1">
      <c r="A1" s="112" t="s">
        <v>74</v>
      </c>
      <c r="D1" s="8"/>
      <c r="E1" s="8"/>
      <c r="H1" s="8"/>
      <c r="I1" s="8"/>
      <c r="J1" s="8"/>
      <c r="K1" s="8"/>
      <c r="L1" s="8"/>
    </row>
    <row r="2" spans="1:17" ht="19.899999999999999" customHeight="1">
      <c r="A2" s="115" t="s">
        <v>10</v>
      </c>
      <c r="D2" s="192">
        <f>Meldung!V1</f>
        <v>45038</v>
      </c>
      <c r="E2" s="327">
        <f>Deckblatt!C3</f>
        <v>45039</v>
      </c>
      <c r="F2" s="327"/>
      <c r="G2" s="327"/>
      <c r="I2" s="6"/>
      <c r="J2" s="9"/>
      <c r="K2" s="6"/>
      <c r="L2" s="9"/>
    </row>
    <row r="3" spans="1:17" ht="15" customHeight="1" thickBot="1">
      <c r="A3" s="57"/>
      <c r="B3" s="57"/>
      <c r="C3" s="57"/>
      <c r="E3" s="57"/>
      <c r="F3" s="6"/>
      <c r="G3" s="6"/>
      <c r="H3" s="6"/>
      <c r="I3" s="6"/>
      <c r="J3" s="57"/>
      <c r="K3" s="6"/>
    </row>
    <row r="4" spans="1:17" ht="20.25" thickTop="1" thickBot="1">
      <c r="A4" s="58" t="s">
        <v>10</v>
      </c>
      <c r="B4" s="59"/>
      <c r="C4" s="199" t="str">
        <f>IFERROR(IF(Deckblatt!C8=0,"",Deckblatt!C8),"")</f>
        <v/>
      </c>
      <c r="D4" s="59"/>
      <c r="E4" s="56" t="s">
        <v>37</v>
      </c>
      <c r="F4" s="6"/>
      <c r="G4" s="58" t="s">
        <v>10</v>
      </c>
      <c r="H4" s="59"/>
      <c r="I4" s="199" t="str">
        <f>IFERROR(IF(Deckblatt!C8=0,"",Deckblatt!C8),"")</f>
        <v/>
      </c>
      <c r="J4" s="59"/>
      <c r="K4" s="56" t="s">
        <v>38</v>
      </c>
      <c r="M4" s="58" t="s">
        <v>10</v>
      </c>
      <c r="N4" s="59"/>
      <c r="O4" s="199" t="str">
        <f>IFERROR(IF(Deckblatt!C8=0,"",Deckblatt!C8),"")</f>
        <v/>
      </c>
      <c r="P4" s="59"/>
      <c r="Q4" s="56" t="s">
        <v>39</v>
      </c>
    </row>
    <row r="5" spans="1:17" s="60" customFormat="1" ht="25.15" customHeight="1" thickBot="1">
      <c r="A5" s="61" t="s">
        <v>47</v>
      </c>
      <c r="B5" s="29"/>
      <c r="C5" s="333"/>
      <c r="D5" s="334"/>
      <c r="E5" s="335"/>
      <c r="F5" s="23"/>
      <c r="G5" s="61" t="s">
        <v>47</v>
      </c>
      <c r="H5" s="29"/>
      <c r="I5" s="333"/>
      <c r="J5" s="334"/>
      <c r="K5" s="335"/>
      <c r="M5" s="61" t="s">
        <v>47</v>
      </c>
      <c r="N5" s="29"/>
      <c r="O5" s="333"/>
      <c r="P5" s="334"/>
      <c r="Q5" s="335"/>
    </row>
    <row r="6" spans="1:17" ht="19.899999999999999" customHeight="1">
      <c r="A6" s="55" t="s">
        <v>43</v>
      </c>
      <c r="B6" s="48" t="s">
        <v>48</v>
      </c>
      <c r="C6" s="49" t="s">
        <v>3</v>
      </c>
      <c r="D6" s="49" t="s">
        <v>4</v>
      </c>
      <c r="E6" s="50" t="s">
        <v>44</v>
      </c>
      <c r="F6" s="10"/>
      <c r="G6" s="55" t="s">
        <v>43</v>
      </c>
      <c r="H6" s="48" t="s">
        <v>48</v>
      </c>
      <c r="I6" s="49" t="s">
        <v>3</v>
      </c>
      <c r="J6" s="49" t="s">
        <v>4</v>
      </c>
      <c r="K6" s="50" t="s">
        <v>44</v>
      </c>
      <c r="L6" s="1"/>
      <c r="M6" s="55" t="s">
        <v>43</v>
      </c>
      <c r="N6" s="48" t="s">
        <v>48</v>
      </c>
      <c r="O6" s="49" t="s">
        <v>3</v>
      </c>
      <c r="P6" s="49" t="s">
        <v>4</v>
      </c>
      <c r="Q6" s="50" t="s">
        <v>44</v>
      </c>
    </row>
    <row r="7" spans="1:17" ht="16.149999999999999" customHeight="1">
      <c r="A7" s="128">
        <v>1</v>
      </c>
      <c r="B7" s="163" t="str">
        <f>IFERROR(INDEX(Teilnehmer[LfNr],_xlfn.AGGREGATE(15,6,ROW(Teilnehmer[LfNr])/((Teilnehmer[Großgruppe]=$E$4)),ROW()-6)-1,1),"")</f>
        <v/>
      </c>
      <c r="C7" s="64" t="str">
        <f>IFERROR(VLOOKUP(B7,Teilnehmer[],2,FALSE),"")</f>
        <v/>
      </c>
      <c r="D7" s="64" t="str">
        <f>IFERROR(VLOOKUP(B7,Teilnehmer[],3,FALSE),"")</f>
        <v/>
      </c>
      <c r="E7" s="65" t="str">
        <f>IFERROR(VLOOKUP(B7,Teilnehmer[],5,FALSE),"")</f>
        <v/>
      </c>
      <c r="F7" s="10"/>
      <c r="G7" s="128">
        <v>1</v>
      </c>
      <c r="H7" s="197" t="str">
        <f>IFERROR(INDEX(Teilnehmer[LfNr],_xlfn.AGGREGATE(15,6,ROW(Teilnehmer[LfNr])/((Teilnehmer[Großgruppe]=$K$4)),ROW()-6)-1,1),"")</f>
        <v/>
      </c>
      <c r="I7" s="64" t="str">
        <f>IFERROR(VLOOKUP(H7,Teilnehmer[],2,FALSE),"")</f>
        <v/>
      </c>
      <c r="J7" s="64" t="str">
        <f>IFERROR(VLOOKUP(H7,Teilnehmer[],3,FALSE),"")</f>
        <v/>
      </c>
      <c r="K7" s="65" t="str">
        <f>IFERROR(VLOOKUP(H7,Teilnehmer[],5,FALSE),"")</f>
        <v/>
      </c>
      <c r="L7" s="1"/>
      <c r="M7" s="128">
        <v>1</v>
      </c>
      <c r="N7" s="129" t="str">
        <f>IFERROR(INDEX(Teilnehmer[LfNr],_xlfn.AGGREGATE(15,6,ROW(Teilnehmer[LfNr])/((Teilnehmer[Großgruppe]=$Q$4)),ROW()-6)-1,1),"")</f>
        <v/>
      </c>
      <c r="O7" s="64" t="str">
        <f>IFERROR(VLOOKUP(N7,Teilnehmer[],2,FALSE),"")</f>
        <v/>
      </c>
      <c r="P7" s="64" t="str">
        <f>IFERROR(VLOOKUP(N7,Teilnehmer[],3,FALSE),"")</f>
        <v/>
      </c>
      <c r="Q7" s="65" t="str">
        <f>IFERROR(VLOOKUP(N7,Teilnehmer[],5,FALSE),"")</f>
        <v/>
      </c>
    </row>
    <row r="8" spans="1:17" ht="16.149999999999999" customHeight="1">
      <c r="A8" s="128">
        <f>A7+1</f>
        <v>2</v>
      </c>
      <c r="B8" s="163" t="str">
        <f>IFERROR(INDEX(Teilnehmer[LfNr],_xlfn.AGGREGATE(15,6,ROW(Teilnehmer[LfNr])/((Teilnehmer[Großgruppe]=$E$4)),ROW()-6)-1,1),"")</f>
        <v/>
      </c>
      <c r="C8" s="64" t="str">
        <f>IFERROR(VLOOKUP(B8,Teilnehmer[],2,FALSE),"")</f>
        <v/>
      </c>
      <c r="D8" s="64" t="str">
        <f>IFERROR(VLOOKUP(B8,Teilnehmer[],3,FALSE),"")</f>
        <v/>
      </c>
      <c r="E8" s="65" t="str">
        <f>IFERROR(VLOOKUP(B8,Teilnehmer[],5,FALSE),"")</f>
        <v/>
      </c>
      <c r="F8" s="10"/>
      <c r="G8" s="128">
        <f>G7+1</f>
        <v>2</v>
      </c>
      <c r="H8" s="197" t="str">
        <f>IFERROR(INDEX(Teilnehmer[LfNr],_xlfn.AGGREGATE(15,6,ROW(Teilnehmer[LfNr])/((Teilnehmer[Großgruppe]=$K$4)),ROW()-6)-1,1),"")</f>
        <v/>
      </c>
      <c r="I8" s="64" t="str">
        <f>IFERROR(VLOOKUP(H8,Teilnehmer[],2,FALSE),"")</f>
        <v/>
      </c>
      <c r="J8" s="64" t="str">
        <f>IFERROR(VLOOKUP(H8,Teilnehmer[],3,FALSE),"")</f>
        <v/>
      </c>
      <c r="K8" s="65" t="str">
        <f>IFERROR(VLOOKUP(H8,Teilnehmer[],5,FALSE),"")</f>
        <v/>
      </c>
      <c r="L8" s="1"/>
      <c r="M8" s="128">
        <f>M7+1</f>
        <v>2</v>
      </c>
      <c r="N8" s="129" t="str">
        <f>IFERROR(INDEX(Teilnehmer[LfNr],_xlfn.AGGREGATE(15,6,ROW(Teilnehmer[LfNr])/((Teilnehmer[Großgruppe]=$Q$4)),ROW()-6)-1,1),"")</f>
        <v/>
      </c>
      <c r="O8" s="64" t="str">
        <f>IFERROR(VLOOKUP(N8,Teilnehmer[],2,FALSE),"")</f>
        <v/>
      </c>
      <c r="P8" s="64" t="str">
        <f>IFERROR(VLOOKUP(N8,Teilnehmer[],3,FALSE),"")</f>
        <v/>
      </c>
      <c r="Q8" s="65" t="str">
        <f>IFERROR(VLOOKUP(N8,Teilnehmer[],5,FALSE),"")</f>
        <v/>
      </c>
    </row>
    <row r="9" spans="1:17" ht="16.149999999999999" customHeight="1">
      <c r="A9" s="128">
        <f t="shared" ref="A9:A30" si="0">A8+1</f>
        <v>3</v>
      </c>
      <c r="B9" s="163" t="str">
        <f>IFERROR(INDEX(Teilnehmer[LfNr],_xlfn.AGGREGATE(15,6,ROW(Teilnehmer[LfNr])/((Teilnehmer[Großgruppe]=$E$4)),ROW()-6)-1,1),"")</f>
        <v/>
      </c>
      <c r="C9" s="64" t="str">
        <f>IFERROR(VLOOKUP(B9,Teilnehmer[],2,FALSE),"")</f>
        <v/>
      </c>
      <c r="D9" s="64" t="str">
        <f>IFERROR(VLOOKUP(B9,Teilnehmer[],3,FALSE),"")</f>
        <v/>
      </c>
      <c r="E9" s="65" t="str">
        <f>IFERROR(VLOOKUP(B9,Teilnehmer[],5,FALSE),"")</f>
        <v/>
      </c>
      <c r="F9" s="10"/>
      <c r="G9" s="128">
        <f t="shared" ref="G9:G30" si="1">G8+1</f>
        <v>3</v>
      </c>
      <c r="H9" s="197" t="str">
        <f>IFERROR(INDEX(Teilnehmer[LfNr],_xlfn.AGGREGATE(15,6,ROW(Teilnehmer[LfNr])/((Teilnehmer[Großgruppe]=$K$4)),ROW()-6)-1,1),"")</f>
        <v/>
      </c>
      <c r="I9" s="64" t="str">
        <f>IFERROR(VLOOKUP(H9,Teilnehmer[],2,FALSE),"")</f>
        <v/>
      </c>
      <c r="J9" s="64" t="str">
        <f>IFERROR(VLOOKUP(H9,Teilnehmer[],3,FALSE),"")</f>
        <v/>
      </c>
      <c r="K9" s="65" t="str">
        <f>IFERROR(VLOOKUP(H9,Teilnehmer[],5,FALSE),"")</f>
        <v/>
      </c>
      <c r="L9" s="1"/>
      <c r="M9" s="128">
        <f t="shared" ref="M9:M30" si="2">M8+1</f>
        <v>3</v>
      </c>
      <c r="N9" s="129" t="str">
        <f>IFERROR(INDEX(Teilnehmer[LfNr],_xlfn.AGGREGATE(15,6,ROW(Teilnehmer[LfNr])/((Teilnehmer[Großgruppe]=$Q$4)),ROW()-6)-1,1),"")</f>
        <v/>
      </c>
      <c r="O9" s="64" t="str">
        <f>IFERROR(VLOOKUP(N9,Teilnehmer[],2,FALSE),"")</f>
        <v/>
      </c>
      <c r="P9" s="64" t="str">
        <f>IFERROR(VLOOKUP(N9,Teilnehmer[],3,FALSE),"")</f>
        <v/>
      </c>
      <c r="Q9" s="65" t="str">
        <f>IFERROR(VLOOKUP(N9,Teilnehmer[],5,FALSE),"")</f>
        <v/>
      </c>
    </row>
    <row r="10" spans="1:17" ht="16.149999999999999" customHeight="1">
      <c r="A10" s="128">
        <f t="shared" si="0"/>
        <v>4</v>
      </c>
      <c r="B10" s="163" t="str">
        <f>IFERROR(INDEX(Teilnehmer[LfNr],_xlfn.AGGREGATE(15,6,ROW(Teilnehmer[LfNr])/((Teilnehmer[Großgruppe]=$E$4)),ROW()-6)-1,1),"")</f>
        <v/>
      </c>
      <c r="C10" s="64" t="str">
        <f>IFERROR(VLOOKUP(B10,Teilnehmer[],2,FALSE),"")</f>
        <v/>
      </c>
      <c r="D10" s="64" t="str">
        <f>IFERROR(VLOOKUP(B10,Teilnehmer[],3,FALSE),"")</f>
        <v/>
      </c>
      <c r="E10" s="65" t="str">
        <f>IFERROR(VLOOKUP(B10,Teilnehmer[],5,FALSE),"")</f>
        <v/>
      </c>
      <c r="F10" s="10"/>
      <c r="G10" s="128">
        <f t="shared" si="1"/>
        <v>4</v>
      </c>
      <c r="H10" s="197" t="str">
        <f>IFERROR(INDEX(Teilnehmer[LfNr],_xlfn.AGGREGATE(15,6,ROW(Teilnehmer[LfNr])/((Teilnehmer[Großgruppe]=$K$4)),ROW()-6)-1,1),"")</f>
        <v/>
      </c>
      <c r="I10" s="64" t="str">
        <f>IFERROR(VLOOKUP(H10,Teilnehmer[],2,FALSE),"")</f>
        <v/>
      </c>
      <c r="J10" s="64" t="str">
        <f>IFERROR(VLOOKUP(H10,Teilnehmer[],3,FALSE),"")</f>
        <v/>
      </c>
      <c r="K10" s="65" t="str">
        <f>IFERROR(VLOOKUP(H10,Teilnehmer[],5,FALSE),"")</f>
        <v/>
      </c>
      <c r="L10" s="1"/>
      <c r="M10" s="128">
        <f t="shared" si="2"/>
        <v>4</v>
      </c>
      <c r="N10" s="129" t="str">
        <f>IFERROR(INDEX(Teilnehmer[LfNr],_xlfn.AGGREGATE(15,6,ROW(Teilnehmer[LfNr])/((Teilnehmer[Großgruppe]=$Q$4)),ROW()-6)-1,1),"")</f>
        <v/>
      </c>
      <c r="O10" s="64" t="str">
        <f>IFERROR(VLOOKUP(N10,Teilnehmer[],2,FALSE),"")</f>
        <v/>
      </c>
      <c r="P10" s="64" t="str">
        <f>IFERROR(VLOOKUP(N10,Teilnehmer[],3,FALSE),"")</f>
        <v/>
      </c>
      <c r="Q10" s="65" t="str">
        <f>IFERROR(VLOOKUP(N10,Teilnehmer[],5,FALSE),"")</f>
        <v/>
      </c>
    </row>
    <row r="11" spans="1:17" ht="16.149999999999999" customHeight="1">
      <c r="A11" s="128">
        <f t="shared" si="0"/>
        <v>5</v>
      </c>
      <c r="B11" s="163" t="str">
        <f>IFERROR(INDEX(Teilnehmer[LfNr],_xlfn.AGGREGATE(15,6,ROW(Teilnehmer[LfNr])/((Teilnehmer[Großgruppe]=$E$4)),ROW()-6)-1,1),"")</f>
        <v/>
      </c>
      <c r="C11" s="64" t="str">
        <f>IFERROR(VLOOKUP(B11,Teilnehmer[],2,FALSE),"")</f>
        <v/>
      </c>
      <c r="D11" s="64" t="str">
        <f>IFERROR(VLOOKUP(B11,Teilnehmer[],3,FALSE),"")</f>
        <v/>
      </c>
      <c r="E11" s="65" t="str">
        <f>IFERROR(VLOOKUP(B11,Teilnehmer[],5,FALSE),"")</f>
        <v/>
      </c>
      <c r="F11" s="10"/>
      <c r="G11" s="128">
        <f t="shared" si="1"/>
        <v>5</v>
      </c>
      <c r="H11" s="197" t="str">
        <f>IFERROR(INDEX(Teilnehmer[LfNr],_xlfn.AGGREGATE(15,6,ROW(Teilnehmer[LfNr])/((Teilnehmer[Großgruppe]=$K$4)),ROW()-6)-1,1),"")</f>
        <v/>
      </c>
      <c r="I11" s="64" t="str">
        <f>IFERROR(VLOOKUP(H11,Teilnehmer[],2,FALSE),"")</f>
        <v/>
      </c>
      <c r="J11" s="64" t="str">
        <f>IFERROR(VLOOKUP(H11,Teilnehmer[],3,FALSE),"")</f>
        <v/>
      </c>
      <c r="K11" s="65" t="str">
        <f>IFERROR(VLOOKUP(H11,Teilnehmer[],5,FALSE),"")</f>
        <v/>
      </c>
      <c r="L11" s="1"/>
      <c r="M11" s="128">
        <f t="shared" si="2"/>
        <v>5</v>
      </c>
      <c r="N11" s="129" t="str">
        <f>IFERROR(INDEX(Teilnehmer[LfNr],_xlfn.AGGREGATE(15,6,ROW(Teilnehmer[LfNr])/((Teilnehmer[Großgruppe]=$Q$4)),ROW()-6)-1,1),"")</f>
        <v/>
      </c>
      <c r="O11" s="64" t="str">
        <f>IFERROR(VLOOKUP(N11,Teilnehmer[],2,FALSE),"")</f>
        <v/>
      </c>
      <c r="P11" s="64" t="str">
        <f>IFERROR(VLOOKUP(N11,Teilnehmer[],3,FALSE),"")</f>
        <v/>
      </c>
      <c r="Q11" s="65" t="str">
        <f>IFERROR(VLOOKUP(N11,Teilnehmer[],5,FALSE),"")</f>
        <v/>
      </c>
    </row>
    <row r="12" spans="1:17" ht="16.149999999999999" customHeight="1">
      <c r="A12" s="128">
        <f t="shared" si="0"/>
        <v>6</v>
      </c>
      <c r="B12" s="163" t="str">
        <f>IFERROR(INDEX(Teilnehmer[LfNr],_xlfn.AGGREGATE(15,6,ROW(Teilnehmer[LfNr])/((Teilnehmer[Großgruppe]=$E$4)),ROW()-6)-1,1),"")</f>
        <v/>
      </c>
      <c r="C12" s="64" t="str">
        <f>IFERROR(VLOOKUP(B12,Teilnehmer[],2,FALSE),"")</f>
        <v/>
      </c>
      <c r="D12" s="64" t="str">
        <f>IFERROR(VLOOKUP(B12,Teilnehmer[],3,FALSE),"")</f>
        <v/>
      </c>
      <c r="E12" s="65" t="str">
        <f>IFERROR(VLOOKUP(B12,Teilnehmer[],5,FALSE),"")</f>
        <v/>
      </c>
      <c r="F12" s="10"/>
      <c r="G12" s="128">
        <f t="shared" si="1"/>
        <v>6</v>
      </c>
      <c r="H12" s="197" t="str">
        <f>IFERROR(INDEX(Teilnehmer[LfNr],_xlfn.AGGREGATE(15,6,ROW(Teilnehmer[LfNr])/((Teilnehmer[Großgruppe]=$K$4)),ROW()-6)-1,1),"")</f>
        <v/>
      </c>
      <c r="I12" s="64" t="str">
        <f>IFERROR(VLOOKUP(H12,Teilnehmer[],2,FALSE),"")</f>
        <v/>
      </c>
      <c r="J12" s="64" t="str">
        <f>IFERROR(VLOOKUP(H12,Teilnehmer[],3,FALSE),"")</f>
        <v/>
      </c>
      <c r="K12" s="65" t="str">
        <f>IFERROR(VLOOKUP(H12,Teilnehmer[],5,FALSE),"")</f>
        <v/>
      </c>
      <c r="L12" s="1"/>
      <c r="M12" s="128">
        <f t="shared" si="2"/>
        <v>6</v>
      </c>
      <c r="N12" s="129" t="str">
        <f>IFERROR(INDEX(Teilnehmer[LfNr],_xlfn.AGGREGATE(15,6,ROW(Teilnehmer[LfNr])/((Teilnehmer[Großgruppe]=$Q$4)),ROW()-6)-1,1),"")</f>
        <v/>
      </c>
      <c r="O12" s="64" t="str">
        <f>IFERROR(VLOOKUP(N12,Teilnehmer[],2,FALSE),"")</f>
        <v/>
      </c>
      <c r="P12" s="64" t="str">
        <f>IFERROR(VLOOKUP(N12,Teilnehmer[],3,FALSE),"")</f>
        <v/>
      </c>
      <c r="Q12" s="65" t="str">
        <f>IFERROR(VLOOKUP(N12,Teilnehmer[],5,FALSE),"")</f>
        <v/>
      </c>
    </row>
    <row r="13" spans="1:17" ht="16.149999999999999" customHeight="1">
      <c r="A13" s="128">
        <f t="shared" si="0"/>
        <v>7</v>
      </c>
      <c r="B13" s="163" t="str">
        <f>IFERROR(INDEX(Teilnehmer[LfNr],_xlfn.AGGREGATE(15,6,ROW(Teilnehmer[LfNr])/((Teilnehmer[Großgruppe]=$E$4)),ROW()-6)-1,1),"")</f>
        <v/>
      </c>
      <c r="C13" s="64" t="str">
        <f>IFERROR(VLOOKUP(B13,Teilnehmer[],2,FALSE),"")</f>
        <v/>
      </c>
      <c r="D13" s="64" t="str">
        <f>IFERROR(VLOOKUP(B13,Teilnehmer[],3,FALSE),"")</f>
        <v/>
      </c>
      <c r="E13" s="65" t="str">
        <f>IFERROR(VLOOKUP(B13,Teilnehmer[],5,FALSE),"")</f>
        <v/>
      </c>
      <c r="F13" s="10"/>
      <c r="G13" s="128">
        <f t="shared" si="1"/>
        <v>7</v>
      </c>
      <c r="H13" s="197" t="str">
        <f>IFERROR(INDEX(Teilnehmer[LfNr],_xlfn.AGGREGATE(15,6,ROW(Teilnehmer[LfNr])/((Teilnehmer[Großgruppe]=$K$4)),ROW()-6)-1,1),"")</f>
        <v/>
      </c>
      <c r="I13" s="64" t="str">
        <f>IFERROR(VLOOKUP(H13,Teilnehmer[],2,FALSE),"")</f>
        <v/>
      </c>
      <c r="J13" s="64" t="str">
        <f>IFERROR(VLOOKUP(H13,Teilnehmer[],3,FALSE),"")</f>
        <v/>
      </c>
      <c r="K13" s="65" t="str">
        <f>IFERROR(VLOOKUP(H13,Teilnehmer[],5,FALSE),"")</f>
        <v/>
      </c>
      <c r="L13" s="1"/>
      <c r="M13" s="128">
        <f t="shared" si="2"/>
        <v>7</v>
      </c>
      <c r="N13" s="129" t="str">
        <f>IFERROR(INDEX(Teilnehmer[LfNr],_xlfn.AGGREGATE(15,6,ROW(Teilnehmer[LfNr])/((Teilnehmer[Großgruppe]=$Q$4)),ROW()-6)-1,1),"")</f>
        <v/>
      </c>
      <c r="O13" s="64" t="str">
        <f>IFERROR(VLOOKUP(N13,Teilnehmer[],2,FALSE),"")</f>
        <v/>
      </c>
      <c r="P13" s="64" t="str">
        <f>IFERROR(VLOOKUP(N13,Teilnehmer[],3,FALSE),"")</f>
        <v/>
      </c>
      <c r="Q13" s="65" t="str">
        <f>IFERROR(VLOOKUP(N13,Teilnehmer[],5,FALSE),"")</f>
        <v/>
      </c>
    </row>
    <row r="14" spans="1:17" ht="16.149999999999999" customHeight="1">
      <c r="A14" s="128">
        <f t="shared" si="0"/>
        <v>8</v>
      </c>
      <c r="B14" s="163" t="str">
        <f>IFERROR(INDEX(Teilnehmer[LfNr],_xlfn.AGGREGATE(15,6,ROW(Teilnehmer[LfNr])/((Teilnehmer[Großgruppe]=$E$4)),ROW()-6)-1,1),"")</f>
        <v/>
      </c>
      <c r="C14" s="64" t="str">
        <f>IFERROR(VLOOKUP(B14,Teilnehmer[],2,FALSE),"")</f>
        <v/>
      </c>
      <c r="D14" s="64" t="str">
        <f>IFERROR(VLOOKUP(B14,Teilnehmer[],3,FALSE),"")</f>
        <v/>
      </c>
      <c r="E14" s="65" t="str">
        <f>IFERROR(VLOOKUP(B14,Teilnehmer[],5,FALSE),"")</f>
        <v/>
      </c>
      <c r="F14" s="10"/>
      <c r="G14" s="128">
        <f t="shared" si="1"/>
        <v>8</v>
      </c>
      <c r="H14" s="197" t="str">
        <f>IFERROR(INDEX(Teilnehmer[LfNr],_xlfn.AGGREGATE(15,6,ROW(Teilnehmer[LfNr])/((Teilnehmer[Großgruppe]=$K$4)),ROW()-6)-1,1),"")</f>
        <v/>
      </c>
      <c r="I14" s="64" t="str">
        <f>IFERROR(VLOOKUP(H14,Teilnehmer[],2,FALSE),"")</f>
        <v/>
      </c>
      <c r="J14" s="64" t="str">
        <f>IFERROR(VLOOKUP(H14,Teilnehmer[],3,FALSE),"")</f>
        <v/>
      </c>
      <c r="K14" s="65" t="str">
        <f>IFERROR(VLOOKUP(H14,Teilnehmer[],5,FALSE),"")</f>
        <v/>
      </c>
      <c r="L14" s="1"/>
      <c r="M14" s="128">
        <f t="shared" si="2"/>
        <v>8</v>
      </c>
      <c r="N14" s="129" t="str">
        <f>IFERROR(INDEX(Teilnehmer[LfNr],_xlfn.AGGREGATE(15,6,ROW(Teilnehmer[LfNr])/((Teilnehmer[Großgruppe]=$Q$4)),ROW()-6)-1,1),"")</f>
        <v/>
      </c>
      <c r="O14" s="64" t="str">
        <f>IFERROR(VLOOKUP(N14,Teilnehmer[],2,FALSE),"")</f>
        <v/>
      </c>
      <c r="P14" s="64" t="str">
        <f>IFERROR(VLOOKUP(N14,Teilnehmer[],3,FALSE),"")</f>
        <v/>
      </c>
      <c r="Q14" s="65" t="str">
        <f>IFERROR(VLOOKUP(N14,Teilnehmer[],5,FALSE),"")</f>
        <v/>
      </c>
    </row>
    <row r="15" spans="1:17" ht="16.149999999999999" customHeight="1">
      <c r="A15" s="128">
        <f t="shared" si="0"/>
        <v>9</v>
      </c>
      <c r="B15" s="163" t="str">
        <f>IFERROR(INDEX(Teilnehmer[LfNr],_xlfn.AGGREGATE(15,6,ROW(Teilnehmer[LfNr])/((Teilnehmer[Großgruppe]=$E$4)),ROW()-6)-1,1),"")</f>
        <v/>
      </c>
      <c r="C15" s="64" t="str">
        <f>IFERROR(VLOOKUP(B15,Teilnehmer[],2,FALSE),"")</f>
        <v/>
      </c>
      <c r="D15" s="64" t="str">
        <f>IFERROR(VLOOKUP(B15,Teilnehmer[],3,FALSE),"")</f>
        <v/>
      </c>
      <c r="E15" s="65" t="str">
        <f>IFERROR(VLOOKUP(B15,Teilnehmer[],5,FALSE),"")</f>
        <v/>
      </c>
      <c r="F15" s="10"/>
      <c r="G15" s="128">
        <f t="shared" si="1"/>
        <v>9</v>
      </c>
      <c r="H15" s="197" t="str">
        <f>IFERROR(INDEX(Teilnehmer[LfNr],_xlfn.AGGREGATE(15,6,ROW(Teilnehmer[LfNr])/((Teilnehmer[Großgruppe]=$K$4)),ROW()-6)-1,1),"")</f>
        <v/>
      </c>
      <c r="I15" s="64" t="str">
        <f>IFERROR(VLOOKUP(H15,Teilnehmer[],2,FALSE),"")</f>
        <v/>
      </c>
      <c r="J15" s="64" t="str">
        <f>IFERROR(VLOOKUP(H15,Teilnehmer[],3,FALSE),"")</f>
        <v/>
      </c>
      <c r="K15" s="65" t="str">
        <f>IFERROR(VLOOKUP(H15,Teilnehmer[],5,FALSE),"")</f>
        <v/>
      </c>
      <c r="L15" s="1"/>
      <c r="M15" s="128">
        <f t="shared" si="2"/>
        <v>9</v>
      </c>
      <c r="N15" s="129" t="str">
        <f>IFERROR(INDEX(Teilnehmer[LfNr],_xlfn.AGGREGATE(15,6,ROW(Teilnehmer[LfNr])/((Teilnehmer[Großgruppe]=$Q$4)),ROW()-6)-1,1),"")</f>
        <v/>
      </c>
      <c r="O15" s="64" t="str">
        <f>IFERROR(VLOOKUP(N15,Teilnehmer[],2,FALSE),"")</f>
        <v/>
      </c>
      <c r="P15" s="64" t="str">
        <f>IFERROR(VLOOKUP(N15,Teilnehmer[],3,FALSE),"")</f>
        <v/>
      </c>
      <c r="Q15" s="65" t="str">
        <f>IFERROR(VLOOKUP(N15,Teilnehmer[],5,FALSE),"")</f>
        <v/>
      </c>
    </row>
    <row r="16" spans="1:17" ht="16.149999999999999" customHeight="1">
      <c r="A16" s="128">
        <f t="shared" si="0"/>
        <v>10</v>
      </c>
      <c r="B16" s="163" t="str">
        <f>IFERROR(INDEX(Teilnehmer[LfNr],_xlfn.AGGREGATE(15,6,ROW(Teilnehmer[LfNr])/((Teilnehmer[Großgruppe]=$E$4)),ROW()-6)-1,1),"")</f>
        <v/>
      </c>
      <c r="C16" s="64" t="str">
        <f>IFERROR(VLOOKUP(B16,Teilnehmer[],2,FALSE),"")</f>
        <v/>
      </c>
      <c r="D16" s="64" t="str">
        <f>IFERROR(VLOOKUP(B16,Teilnehmer[],3,FALSE),"")</f>
        <v/>
      </c>
      <c r="E16" s="65" t="str">
        <f>IFERROR(VLOOKUP(B16,Teilnehmer[],5,FALSE),"")</f>
        <v/>
      </c>
      <c r="F16" s="10"/>
      <c r="G16" s="128">
        <f t="shared" si="1"/>
        <v>10</v>
      </c>
      <c r="H16" s="197" t="str">
        <f>IFERROR(INDEX(Teilnehmer[LfNr],_xlfn.AGGREGATE(15,6,ROW(Teilnehmer[LfNr])/((Teilnehmer[Großgruppe]=$K$4)),ROW()-6)-1,1),"")</f>
        <v/>
      </c>
      <c r="I16" s="64" t="str">
        <f>IFERROR(VLOOKUP(H16,Teilnehmer[],2,FALSE),"")</f>
        <v/>
      </c>
      <c r="J16" s="64" t="str">
        <f>IFERROR(VLOOKUP(H16,Teilnehmer[],3,FALSE),"")</f>
        <v/>
      </c>
      <c r="K16" s="65" t="str">
        <f>IFERROR(VLOOKUP(H16,Teilnehmer[],5,FALSE),"")</f>
        <v/>
      </c>
      <c r="L16" s="1"/>
      <c r="M16" s="128">
        <f t="shared" si="2"/>
        <v>10</v>
      </c>
      <c r="N16" s="129" t="str">
        <f>IFERROR(INDEX(Teilnehmer[LfNr],_xlfn.AGGREGATE(15,6,ROW(Teilnehmer[LfNr])/((Teilnehmer[Großgruppe]=$Q$4)),ROW()-6)-1,1),"")</f>
        <v/>
      </c>
      <c r="O16" s="64" t="str">
        <f>IFERROR(VLOOKUP(N16,Teilnehmer[],2,FALSE),"")</f>
        <v/>
      </c>
      <c r="P16" s="64" t="str">
        <f>IFERROR(VLOOKUP(N16,Teilnehmer[],3,FALSE),"")</f>
        <v/>
      </c>
      <c r="Q16" s="65" t="str">
        <f>IFERROR(VLOOKUP(N16,Teilnehmer[],5,FALSE),"")</f>
        <v/>
      </c>
    </row>
    <row r="17" spans="1:17" ht="16.149999999999999" customHeight="1">
      <c r="A17" s="128">
        <f t="shared" si="0"/>
        <v>11</v>
      </c>
      <c r="B17" s="196" t="str">
        <f>IFERROR(INDEX(Teilnehmer[LfNr],_xlfn.AGGREGATE(15,6,ROW(Teilnehmer[LfNr])/((Teilnehmer[Großgruppe]=$E$4)),ROW()-6)-1,1),"")</f>
        <v/>
      </c>
      <c r="C17" s="64" t="str">
        <f>IFERROR(VLOOKUP(B17,Teilnehmer[],2,FALSE),"")</f>
        <v/>
      </c>
      <c r="D17" s="64" t="str">
        <f>IFERROR(VLOOKUP(B17,Teilnehmer[],3,FALSE),"")</f>
        <v/>
      </c>
      <c r="E17" s="130" t="str">
        <f>IFERROR(VLOOKUP(B17,Teilnehmer[],5,FALSE),"")</f>
        <v/>
      </c>
      <c r="G17" s="128">
        <f t="shared" si="1"/>
        <v>11</v>
      </c>
      <c r="H17" s="197" t="str">
        <f>IFERROR(INDEX(Teilnehmer[LfNr],_xlfn.AGGREGATE(15,6,ROW(Teilnehmer[LfNr])/((Teilnehmer[Großgruppe]=$K$4)),ROW()-6)-1,1),"")</f>
        <v/>
      </c>
      <c r="I17" s="64" t="str">
        <f>IFERROR(VLOOKUP(H17,Teilnehmer[],2,FALSE),"")</f>
        <v/>
      </c>
      <c r="J17" s="64" t="str">
        <f>IFERROR(VLOOKUP(H17,Teilnehmer[],3,FALSE),"")</f>
        <v/>
      </c>
      <c r="K17" s="130" t="str">
        <f>IFERROR(VLOOKUP(H17,Teilnehmer[],5,FALSE),"")</f>
        <v/>
      </c>
      <c r="M17" s="128">
        <f t="shared" si="2"/>
        <v>11</v>
      </c>
      <c r="N17" s="129" t="str">
        <f>IFERROR(INDEX(Teilnehmer[LfNr],_xlfn.AGGREGATE(15,6,ROW(Teilnehmer[LfNr])/((Teilnehmer[Großgruppe]=$Q$4)),ROW()-6)-1,1),"")</f>
        <v/>
      </c>
      <c r="O17" s="64" t="str">
        <f>IFERROR(VLOOKUP(N17,Teilnehmer[],2,FALSE),"")</f>
        <v/>
      </c>
      <c r="P17" s="64" t="str">
        <f>IFERROR(VLOOKUP(N17,Teilnehmer[],3,FALSE),"")</f>
        <v/>
      </c>
      <c r="Q17" s="65" t="str">
        <f>IFERROR(VLOOKUP(N17,Teilnehmer[],5,FALSE),"")</f>
        <v/>
      </c>
    </row>
    <row r="18" spans="1:17" ht="16.149999999999999" customHeight="1">
      <c r="A18" s="128">
        <f t="shared" si="0"/>
        <v>12</v>
      </c>
      <c r="B18" s="196" t="str">
        <f>IFERROR(INDEX(Teilnehmer[LfNr],_xlfn.AGGREGATE(15,6,ROW(Teilnehmer[LfNr])/((Teilnehmer[Großgruppe]=$E$4)),ROW()-6)-1,1),"")</f>
        <v/>
      </c>
      <c r="C18" s="64" t="str">
        <f>IFERROR(VLOOKUP(B18,Teilnehmer[],2,FALSE),"")</f>
        <v/>
      </c>
      <c r="D18" s="64" t="str">
        <f>IFERROR(VLOOKUP(B18,Teilnehmer[],3,FALSE),"")</f>
        <v/>
      </c>
      <c r="E18" s="130" t="str">
        <f>IFERROR(VLOOKUP(B18,Teilnehmer[],5,FALSE),"")</f>
        <v/>
      </c>
      <c r="F18" s="6"/>
      <c r="G18" s="128">
        <f t="shared" si="1"/>
        <v>12</v>
      </c>
      <c r="H18" s="197" t="str">
        <f>IFERROR(INDEX(Teilnehmer[LfNr],_xlfn.AGGREGATE(15,6,ROW(Teilnehmer[LfNr])/((Teilnehmer[Großgruppe]=$K$4)),ROW()-6)-1,1),"")</f>
        <v/>
      </c>
      <c r="I18" s="64" t="str">
        <f>IFERROR(VLOOKUP(H18,Teilnehmer[],2,FALSE),"")</f>
        <v/>
      </c>
      <c r="J18" s="64" t="str">
        <f>IFERROR(VLOOKUP(H18,Teilnehmer[],3,FALSE),"")</f>
        <v/>
      </c>
      <c r="K18" s="130" t="str">
        <f>IFERROR(VLOOKUP(H18,Teilnehmer[],5,FALSE),"")</f>
        <v/>
      </c>
      <c r="M18" s="128">
        <f t="shared" si="2"/>
        <v>12</v>
      </c>
      <c r="N18" s="129" t="str">
        <f>IFERROR(INDEX(Teilnehmer[LfNr],_xlfn.AGGREGATE(15,6,ROW(Teilnehmer[LfNr])/((Teilnehmer[Großgruppe]=$Q$4)),ROW()-6)-1,1),"")</f>
        <v/>
      </c>
      <c r="O18" s="64" t="str">
        <f>IFERROR(VLOOKUP(N18,Teilnehmer[],2,FALSE),"")</f>
        <v/>
      </c>
      <c r="P18" s="64" t="str">
        <f>IFERROR(VLOOKUP(N18,Teilnehmer[],3,FALSE),"")</f>
        <v/>
      </c>
      <c r="Q18" s="65" t="str">
        <f>IFERROR(VLOOKUP(N18,Teilnehmer[],5,FALSE),"")</f>
        <v/>
      </c>
    </row>
    <row r="19" spans="1:17" ht="16.149999999999999" customHeight="1">
      <c r="A19" s="128">
        <f t="shared" si="0"/>
        <v>13</v>
      </c>
      <c r="B19" s="196" t="str">
        <f>IFERROR(INDEX(Teilnehmer[LfNr],_xlfn.AGGREGATE(15,6,ROW(Teilnehmer[LfNr])/((Teilnehmer[Großgruppe]=$E$4)),ROW()-6)-1,1),"")</f>
        <v/>
      </c>
      <c r="C19" s="64" t="str">
        <f>IFERROR(VLOOKUP(B19,Teilnehmer[],2,FALSE),"")</f>
        <v/>
      </c>
      <c r="D19" s="64" t="str">
        <f>IFERROR(VLOOKUP(B19,Teilnehmer[],3,FALSE),"")</f>
        <v/>
      </c>
      <c r="E19" s="130" t="str">
        <f>IFERROR(VLOOKUP(B19,Teilnehmer[],5,FALSE),"")</f>
        <v/>
      </c>
      <c r="F19" s="23"/>
      <c r="G19" s="128">
        <f t="shared" si="1"/>
        <v>13</v>
      </c>
      <c r="H19" s="197" t="str">
        <f>IFERROR(INDEX(Teilnehmer[LfNr],_xlfn.AGGREGATE(15,6,ROW(Teilnehmer[LfNr])/((Teilnehmer[Großgruppe]=$K$4)),ROW()-6)-1,1),"")</f>
        <v/>
      </c>
      <c r="I19" s="64" t="str">
        <f>IFERROR(VLOOKUP(H19,Teilnehmer[],2,FALSE),"")</f>
        <v/>
      </c>
      <c r="J19" s="64" t="str">
        <f>IFERROR(VLOOKUP(H19,Teilnehmer[],3,FALSE),"")</f>
        <v/>
      </c>
      <c r="K19" s="130" t="str">
        <f>IFERROR(VLOOKUP(H19,Teilnehmer[],5,FALSE),"")</f>
        <v/>
      </c>
      <c r="M19" s="128">
        <f t="shared" si="2"/>
        <v>13</v>
      </c>
      <c r="N19" s="129" t="str">
        <f>IFERROR(INDEX(Teilnehmer[LfNr],_xlfn.AGGREGATE(15,6,ROW(Teilnehmer[LfNr])/((Teilnehmer[Großgruppe]=$Q$4)),ROW()-6)-1,1),"")</f>
        <v/>
      </c>
      <c r="O19" s="64" t="str">
        <f>IFERROR(VLOOKUP(N19,Teilnehmer[],2,FALSE),"")</f>
        <v/>
      </c>
      <c r="P19" s="64" t="str">
        <f>IFERROR(VLOOKUP(N19,Teilnehmer[],3,FALSE),"")</f>
        <v/>
      </c>
      <c r="Q19" s="65" t="str">
        <f>IFERROR(VLOOKUP(N19,Teilnehmer[],5,FALSE),"")</f>
        <v/>
      </c>
    </row>
    <row r="20" spans="1:17" ht="16.149999999999999" customHeight="1">
      <c r="A20" s="128">
        <f t="shared" si="0"/>
        <v>14</v>
      </c>
      <c r="B20" s="196" t="str">
        <f>IFERROR(INDEX(Teilnehmer[LfNr],_xlfn.AGGREGATE(15,6,ROW(Teilnehmer[LfNr])/((Teilnehmer[Großgruppe]=$E$4)),ROW()-6)-1,1),"")</f>
        <v/>
      </c>
      <c r="C20" s="64" t="str">
        <f>IFERROR(VLOOKUP(B20,Teilnehmer[],2,FALSE),"")</f>
        <v/>
      </c>
      <c r="D20" s="64" t="str">
        <f>IFERROR(VLOOKUP(B20,Teilnehmer[],3,FALSE),"")</f>
        <v/>
      </c>
      <c r="E20" s="130" t="str">
        <f>IFERROR(VLOOKUP(B20,Teilnehmer[],5,FALSE),"")</f>
        <v/>
      </c>
      <c r="F20" s="10"/>
      <c r="G20" s="128">
        <f t="shared" si="1"/>
        <v>14</v>
      </c>
      <c r="H20" s="197" t="str">
        <f>IFERROR(INDEX(Teilnehmer[LfNr],_xlfn.AGGREGATE(15,6,ROW(Teilnehmer[LfNr])/((Teilnehmer[Großgruppe]=$K$4)),ROW()-6)-1,1),"")</f>
        <v/>
      </c>
      <c r="I20" s="64" t="str">
        <f>IFERROR(VLOOKUP(H20,Teilnehmer[],2,FALSE),"")</f>
        <v/>
      </c>
      <c r="J20" s="64" t="str">
        <f>IFERROR(VLOOKUP(H20,Teilnehmer[],3,FALSE),"")</f>
        <v/>
      </c>
      <c r="K20" s="130" t="str">
        <f>IFERROR(VLOOKUP(H20,Teilnehmer[],5,FALSE),"")</f>
        <v/>
      </c>
      <c r="M20" s="128">
        <f t="shared" si="2"/>
        <v>14</v>
      </c>
      <c r="N20" s="129" t="str">
        <f>IFERROR(INDEX(Teilnehmer[LfNr],_xlfn.AGGREGATE(15,6,ROW(Teilnehmer[LfNr])/((Teilnehmer[Großgruppe]=$Q$4)),ROW()-6)-1,1),"")</f>
        <v/>
      </c>
      <c r="O20" s="64" t="str">
        <f>IFERROR(VLOOKUP(N20,Teilnehmer[],2,FALSE),"")</f>
        <v/>
      </c>
      <c r="P20" s="64" t="str">
        <f>IFERROR(VLOOKUP(N20,Teilnehmer[],3,FALSE),"")</f>
        <v/>
      </c>
      <c r="Q20" s="65" t="str">
        <f>IFERROR(VLOOKUP(N20,Teilnehmer[],5,FALSE),"")</f>
        <v/>
      </c>
    </row>
    <row r="21" spans="1:17" ht="16.149999999999999" customHeight="1">
      <c r="A21" s="128">
        <f t="shared" si="0"/>
        <v>15</v>
      </c>
      <c r="B21" s="196" t="str">
        <f>IFERROR(INDEX(Teilnehmer[LfNr],_xlfn.AGGREGATE(15,6,ROW(Teilnehmer[LfNr])/((Teilnehmer[Großgruppe]=$E$4)),ROW()-6)-1,1),"")</f>
        <v/>
      </c>
      <c r="C21" s="64" t="str">
        <f>IFERROR(VLOOKUP(B21,Teilnehmer[],2,FALSE),"")</f>
        <v/>
      </c>
      <c r="D21" s="64" t="str">
        <f>IFERROR(VLOOKUP(B21,Teilnehmer[],3,FALSE),"")</f>
        <v/>
      </c>
      <c r="E21" s="130" t="str">
        <f>IFERROR(VLOOKUP(B21,Teilnehmer[],5,FALSE),"")</f>
        <v/>
      </c>
      <c r="F21" s="10"/>
      <c r="G21" s="128">
        <f t="shared" si="1"/>
        <v>15</v>
      </c>
      <c r="H21" s="197" t="str">
        <f>IFERROR(INDEX(Teilnehmer[LfNr],_xlfn.AGGREGATE(15,6,ROW(Teilnehmer[LfNr])/((Teilnehmer[Großgruppe]=$K$4)),ROW()-6)-1,1),"")</f>
        <v/>
      </c>
      <c r="I21" s="64" t="str">
        <f>IFERROR(VLOOKUP(H21,Teilnehmer[],2,FALSE),"")</f>
        <v/>
      </c>
      <c r="J21" s="64" t="str">
        <f>IFERROR(VLOOKUP(H21,Teilnehmer[],3,FALSE),"")</f>
        <v/>
      </c>
      <c r="K21" s="130" t="str">
        <f>IFERROR(VLOOKUP(H21,Teilnehmer[],5,FALSE),"")</f>
        <v/>
      </c>
      <c r="M21" s="128">
        <f t="shared" si="2"/>
        <v>15</v>
      </c>
      <c r="N21" s="129" t="str">
        <f>IFERROR(INDEX(Teilnehmer[LfNr],_xlfn.AGGREGATE(15,6,ROW(Teilnehmer[LfNr])/((Teilnehmer[Großgruppe]=$Q$4)),ROW()-6)-1,1),"")</f>
        <v/>
      </c>
      <c r="O21" s="64" t="str">
        <f>IFERROR(VLOOKUP(N21,Teilnehmer[],2,FALSE),"")</f>
        <v/>
      </c>
      <c r="P21" s="64" t="str">
        <f>IFERROR(VLOOKUP(N21,Teilnehmer[],3,FALSE),"")</f>
        <v/>
      </c>
      <c r="Q21" s="65" t="str">
        <f>IFERROR(VLOOKUP(N21,Teilnehmer[],5,FALSE),"")</f>
        <v/>
      </c>
    </row>
    <row r="22" spans="1:17" ht="16.149999999999999" customHeight="1">
      <c r="A22" s="128">
        <f t="shared" si="0"/>
        <v>16</v>
      </c>
      <c r="B22" s="196" t="str">
        <f>IFERROR(INDEX(Teilnehmer[LfNr],_xlfn.AGGREGATE(15,6,ROW(Teilnehmer[LfNr])/((Teilnehmer[Großgruppe]=$E$4)),ROW()-6)-1,1),"")</f>
        <v/>
      </c>
      <c r="C22" s="64" t="str">
        <f>IFERROR(VLOOKUP(B22,Teilnehmer[],2,FALSE),"")</f>
        <v/>
      </c>
      <c r="D22" s="64" t="str">
        <f>IFERROR(VLOOKUP(B22,Teilnehmer[],3,FALSE),"")</f>
        <v/>
      </c>
      <c r="E22" s="130" t="str">
        <f>IFERROR(VLOOKUP(B22,Teilnehmer[],5,FALSE),"")</f>
        <v/>
      </c>
      <c r="F22" s="10"/>
      <c r="G22" s="128">
        <f t="shared" si="1"/>
        <v>16</v>
      </c>
      <c r="H22" s="197" t="str">
        <f>IFERROR(INDEX(Teilnehmer[LfNr],_xlfn.AGGREGATE(15,6,ROW(Teilnehmer[LfNr])/((Teilnehmer[Großgruppe]=$K$4)),ROW()-6)-1,1),"")</f>
        <v/>
      </c>
      <c r="I22" s="64" t="str">
        <f>IFERROR(VLOOKUP(H22,Teilnehmer[],2,FALSE),"")</f>
        <v/>
      </c>
      <c r="J22" s="64" t="str">
        <f>IFERROR(VLOOKUP(H22,Teilnehmer[],3,FALSE),"")</f>
        <v/>
      </c>
      <c r="K22" s="130" t="str">
        <f>IFERROR(VLOOKUP(H22,Teilnehmer[],5,FALSE),"")</f>
        <v/>
      </c>
      <c r="M22" s="128">
        <f t="shared" si="2"/>
        <v>16</v>
      </c>
      <c r="N22" s="129" t="str">
        <f>IFERROR(INDEX(Teilnehmer[LfNr],_xlfn.AGGREGATE(15,6,ROW(Teilnehmer[LfNr])/((Teilnehmer[Großgruppe]=$Q$4)),ROW()-6)-1,1),"")</f>
        <v/>
      </c>
      <c r="O22" s="64" t="str">
        <f>IFERROR(VLOOKUP(N22,Teilnehmer[],2,FALSE),"")</f>
        <v/>
      </c>
      <c r="P22" s="64" t="str">
        <f>IFERROR(VLOOKUP(N22,Teilnehmer[],3,FALSE),"")</f>
        <v/>
      </c>
      <c r="Q22" s="65" t="str">
        <f>IFERROR(VLOOKUP(N22,Teilnehmer[],5,FALSE),"")</f>
        <v/>
      </c>
    </row>
    <row r="23" spans="1:17" ht="16.149999999999999" customHeight="1">
      <c r="A23" s="128">
        <f t="shared" si="0"/>
        <v>17</v>
      </c>
      <c r="B23" s="196" t="str">
        <f>IFERROR(INDEX(Teilnehmer[LfNr],_xlfn.AGGREGATE(15,6,ROW(Teilnehmer[LfNr])/((Teilnehmer[Großgruppe]=$E$4)),ROW()-6)-1,1),"")</f>
        <v/>
      </c>
      <c r="C23" s="64" t="str">
        <f>IFERROR(VLOOKUP(B23,Teilnehmer[],2,FALSE),"")</f>
        <v/>
      </c>
      <c r="D23" s="64" t="str">
        <f>IFERROR(VLOOKUP(B23,Teilnehmer[],3,FALSE),"")</f>
        <v/>
      </c>
      <c r="E23" s="130" t="str">
        <f>IFERROR(VLOOKUP(B23,Teilnehmer[],5,FALSE),"")</f>
        <v/>
      </c>
      <c r="F23" s="10"/>
      <c r="G23" s="128">
        <f t="shared" si="1"/>
        <v>17</v>
      </c>
      <c r="H23" s="197" t="str">
        <f>IFERROR(INDEX(Teilnehmer[LfNr],_xlfn.AGGREGATE(15,6,ROW(Teilnehmer[LfNr])/((Teilnehmer[Großgruppe]=$K$4)),ROW()-6)-1,1),"")</f>
        <v/>
      </c>
      <c r="I23" s="64" t="str">
        <f>IFERROR(VLOOKUP(H23,Teilnehmer[],2,FALSE),"")</f>
        <v/>
      </c>
      <c r="J23" s="64" t="str">
        <f>IFERROR(VLOOKUP(H23,Teilnehmer[],3,FALSE),"")</f>
        <v/>
      </c>
      <c r="K23" s="130" t="str">
        <f>IFERROR(VLOOKUP(H23,Teilnehmer[],5,FALSE),"")</f>
        <v/>
      </c>
      <c r="M23" s="128">
        <f t="shared" si="2"/>
        <v>17</v>
      </c>
      <c r="N23" s="129" t="str">
        <f>IFERROR(INDEX(Teilnehmer[LfNr],_xlfn.AGGREGATE(15,6,ROW(Teilnehmer[LfNr])/((Teilnehmer[Großgruppe]=$Q$4)),ROW()-6)-1,1),"")</f>
        <v/>
      </c>
      <c r="O23" s="64" t="str">
        <f>IFERROR(VLOOKUP(N23,Teilnehmer[],2,FALSE),"")</f>
        <v/>
      </c>
      <c r="P23" s="64" t="str">
        <f>IFERROR(VLOOKUP(N23,Teilnehmer[],3,FALSE),"")</f>
        <v/>
      </c>
      <c r="Q23" s="65" t="str">
        <f>IFERROR(VLOOKUP(N23,Teilnehmer[],5,FALSE),"")</f>
        <v/>
      </c>
    </row>
    <row r="24" spans="1:17" ht="16.149999999999999" customHeight="1">
      <c r="A24" s="128">
        <f t="shared" si="0"/>
        <v>18</v>
      </c>
      <c r="B24" s="196" t="str">
        <f>IFERROR(INDEX(Teilnehmer[LfNr],_xlfn.AGGREGATE(15,6,ROW(Teilnehmer[LfNr])/((Teilnehmer[Großgruppe]=$E$4)),ROW()-6)-1,1),"")</f>
        <v/>
      </c>
      <c r="C24" s="64" t="str">
        <f>IFERROR(VLOOKUP(B24,Teilnehmer[],2,FALSE),"")</f>
        <v/>
      </c>
      <c r="D24" s="64" t="str">
        <f>IFERROR(VLOOKUP(B24,Teilnehmer[],3,FALSE),"")</f>
        <v/>
      </c>
      <c r="E24" s="130" t="str">
        <f>IFERROR(VLOOKUP(B24,Teilnehmer[],5,FALSE),"")</f>
        <v/>
      </c>
      <c r="F24" s="10"/>
      <c r="G24" s="128">
        <f t="shared" si="1"/>
        <v>18</v>
      </c>
      <c r="H24" s="197" t="str">
        <f>IFERROR(INDEX(Teilnehmer[LfNr],_xlfn.AGGREGATE(15,6,ROW(Teilnehmer[LfNr])/((Teilnehmer[Großgruppe]=$K$4)),ROW()-6)-1,1),"")</f>
        <v/>
      </c>
      <c r="I24" s="64" t="str">
        <f>IFERROR(VLOOKUP(H24,Teilnehmer[],2,FALSE),"")</f>
        <v/>
      </c>
      <c r="J24" s="64" t="str">
        <f>IFERROR(VLOOKUP(H24,Teilnehmer[],3,FALSE),"")</f>
        <v/>
      </c>
      <c r="K24" s="130" t="str">
        <f>IFERROR(VLOOKUP(H24,Teilnehmer[],5,FALSE),"")</f>
        <v/>
      </c>
      <c r="M24" s="128">
        <f t="shared" si="2"/>
        <v>18</v>
      </c>
      <c r="N24" s="129" t="str">
        <f>IFERROR(INDEX(Teilnehmer[LfNr],_xlfn.AGGREGATE(15,6,ROW(Teilnehmer[LfNr])/((Teilnehmer[Großgruppe]=$Q$4)),ROW()-6)-1,1),"")</f>
        <v/>
      </c>
      <c r="O24" s="64" t="str">
        <f>IFERROR(VLOOKUP(N24,Teilnehmer[],2,FALSE),"")</f>
        <v/>
      </c>
      <c r="P24" s="64" t="str">
        <f>IFERROR(VLOOKUP(N24,Teilnehmer[],3,FALSE),"")</f>
        <v/>
      </c>
      <c r="Q24" s="65" t="str">
        <f>IFERROR(VLOOKUP(N24,Teilnehmer[],5,FALSE),"")</f>
        <v/>
      </c>
    </row>
    <row r="25" spans="1:17" ht="16.149999999999999" customHeight="1">
      <c r="A25" s="128">
        <f t="shared" si="0"/>
        <v>19</v>
      </c>
      <c r="B25" s="196" t="str">
        <f>IFERROR(INDEX(Teilnehmer[LfNr],_xlfn.AGGREGATE(15,6,ROW(Teilnehmer[LfNr])/((Teilnehmer[Großgruppe]=$E$4)),ROW()-6)-1,1),"")</f>
        <v/>
      </c>
      <c r="C25" s="64" t="str">
        <f>IFERROR(VLOOKUP(B25,Teilnehmer[],2,FALSE),"")</f>
        <v/>
      </c>
      <c r="D25" s="64" t="str">
        <f>IFERROR(VLOOKUP(B25,Teilnehmer[],3,FALSE),"")</f>
        <v/>
      </c>
      <c r="E25" s="130" t="str">
        <f>IFERROR(VLOOKUP(B25,Teilnehmer[],5,FALSE),"")</f>
        <v/>
      </c>
      <c r="F25" s="10"/>
      <c r="G25" s="128">
        <f t="shared" si="1"/>
        <v>19</v>
      </c>
      <c r="H25" s="197" t="str">
        <f>IFERROR(INDEX(Teilnehmer[LfNr],_xlfn.AGGREGATE(15,6,ROW(Teilnehmer[LfNr])/((Teilnehmer[Großgruppe]=$K$4)),ROW()-6)-1,1),"")</f>
        <v/>
      </c>
      <c r="I25" s="64" t="str">
        <f>IFERROR(VLOOKUP(H25,Teilnehmer[],2,FALSE),"")</f>
        <v/>
      </c>
      <c r="J25" s="64" t="str">
        <f>IFERROR(VLOOKUP(H25,Teilnehmer[],3,FALSE),"")</f>
        <v/>
      </c>
      <c r="K25" s="130" t="str">
        <f>IFERROR(VLOOKUP(H25,Teilnehmer[],5,FALSE),"")</f>
        <v/>
      </c>
      <c r="M25" s="128">
        <f t="shared" si="2"/>
        <v>19</v>
      </c>
      <c r="N25" s="129" t="str">
        <f>IFERROR(INDEX(Teilnehmer[LfNr],_xlfn.AGGREGATE(15,6,ROW(Teilnehmer[LfNr])/((Teilnehmer[Großgruppe]=$Q$4)),ROW()-6)-1,1),"")</f>
        <v/>
      </c>
      <c r="O25" s="64" t="str">
        <f>IFERROR(VLOOKUP(N25,Teilnehmer[],2,FALSE),"")</f>
        <v/>
      </c>
      <c r="P25" s="64" t="str">
        <f>IFERROR(VLOOKUP(N25,Teilnehmer[],3,FALSE),"")</f>
        <v/>
      </c>
      <c r="Q25" s="65" t="str">
        <f>IFERROR(VLOOKUP(N25,Teilnehmer[],5,FALSE),"")</f>
        <v/>
      </c>
    </row>
    <row r="26" spans="1:17" ht="15.75">
      <c r="A26" s="128">
        <f t="shared" si="0"/>
        <v>20</v>
      </c>
      <c r="B26" s="196" t="str">
        <f>IFERROR(INDEX(Teilnehmer[LfNr],_xlfn.AGGREGATE(15,6,ROW(Teilnehmer[LfNr])/((Teilnehmer[Großgruppe]=$E$4)),ROW()-6)-1,1),"")</f>
        <v/>
      </c>
      <c r="C26" s="64" t="str">
        <f>IFERROR(VLOOKUP(B26,Teilnehmer[],2,FALSE),"")</f>
        <v/>
      </c>
      <c r="D26" s="64" t="str">
        <f>IFERROR(VLOOKUP(B26,Teilnehmer[],3,FALSE),"")</f>
        <v/>
      </c>
      <c r="E26" s="130" t="str">
        <f>IFERROR(VLOOKUP(B26,Teilnehmer[],5,FALSE),"")</f>
        <v/>
      </c>
      <c r="F26" s="10"/>
      <c r="G26" s="128">
        <f t="shared" si="1"/>
        <v>20</v>
      </c>
      <c r="H26" s="197" t="str">
        <f>IFERROR(INDEX(Teilnehmer[LfNr],_xlfn.AGGREGATE(15,6,ROW(Teilnehmer[LfNr])/((Teilnehmer[Großgruppe]=$K$4)),ROW()-6)-1,1),"")</f>
        <v/>
      </c>
      <c r="I26" s="64" t="str">
        <f>IFERROR(VLOOKUP(H26,Teilnehmer[],2,FALSE),"")</f>
        <v/>
      </c>
      <c r="J26" s="64" t="str">
        <f>IFERROR(VLOOKUP(H26,Teilnehmer[],3,FALSE),"")</f>
        <v/>
      </c>
      <c r="K26" s="130" t="str">
        <f>IFERROR(VLOOKUP(H26,Teilnehmer[],5,FALSE),"")</f>
        <v/>
      </c>
      <c r="M26" s="128">
        <f t="shared" si="2"/>
        <v>20</v>
      </c>
      <c r="N26" s="129" t="str">
        <f>IFERROR(INDEX(Teilnehmer[LfNr],_xlfn.AGGREGATE(15,6,ROW(Teilnehmer[LfNr])/((Teilnehmer[Großgruppe]=$Q$4)),ROW()-6)-1,1),"")</f>
        <v/>
      </c>
      <c r="O26" s="64" t="str">
        <f>IFERROR(VLOOKUP(N26,Teilnehmer[],2,FALSE),"")</f>
        <v/>
      </c>
      <c r="P26" s="64" t="str">
        <f>IFERROR(VLOOKUP(N26,Teilnehmer[],3,FALSE),"")</f>
        <v/>
      </c>
      <c r="Q26" s="65" t="str">
        <f>IFERROR(VLOOKUP(N26,Teilnehmer[],5,FALSE),"")</f>
        <v/>
      </c>
    </row>
    <row r="27" spans="1:17" ht="15.75">
      <c r="A27" s="128">
        <f t="shared" si="0"/>
        <v>21</v>
      </c>
      <c r="B27" s="196" t="str">
        <f>IFERROR(INDEX(Teilnehmer[LfNr],_xlfn.AGGREGATE(15,6,ROW(Teilnehmer[LfNr])/((Teilnehmer[Großgruppe]=$E$4)),ROW()-6)-1,1),"")</f>
        <v/>
      </c>
      <c r="C27" s="64" t="str">
        <f>IFERROR(VLOOKUP(B27,Teilnehmer[],2,FALSE),"")</f>
        <v/>
      </c>
      <c r="D27" s="64" t="str">
        <f>IFERROR(VLOOKUP(B27,Teilnehmer[],3,FALSE),"")</f>
        <v/>
      </c>
      <c r="E27" s="130" t="str">
        <f>IFERROR(VLOOKUP(B27,Teilnehmer[],5,FALSE),"")</f>
        <v/>
      </c>
      <c r="F27" s="10"/>
      <c r="G27" s="128">
        <f t="shared" si="1"/>
        <v>21</v>
      </c>
      <c r="H27" s="197" t="str">
        <f>IFERROR(INDEX(Teilnehmer[LfNr],_xlfn.AGGREGATE(15,6,ROW(Teilnehmer[LfNr])/((Teilnehmer[Großgruppe]=$K$4)),ROW()-6)-1,1),"")</f>
        <v/>
      </c>
      <c r="I27" s="64" t="str">
        <f>IFERROR(VLOOKUP(H27,Teilnehmer[],2,FALSE),"")</f>
        <v/>
      </c>
      <c r="J27" s="64" t="str">
        <f>IFERROR(VLOOKUP(H27,Teilnehmer[],3,FALSE),"")</f>
        <v/>
      </c>
      <c r="K27" s="130" t="str">
        <f>IFERROR(VLOOKUP(H27,Teilnehmer[],5,FALSE),"")</f>
        <v/>
      </c>
      <c r="M27" s="128">
        <f t="shared" si="2"/>
        <v>21</v>
      </c>
      <c r="N27" s="129" t="str">
        <f>IFERROR(INDEX(Teilnehmer[LfNr],_xlfn.AGGREGATE(15,6,ROW(Teilnehmer[LfNr])/((Teilnehmer[Großgruppe]=$Q$4)),ROW()-6)-1,1),"")</f>
        <v/>
      </c>
      <c r="O27" s="64" t="str">
        <f>IFERROR(VLOOKUP(N27,Teilnehmer[],2,FALSE),"")</f>
        <v/>
      </c>
      <c r="P27" s="64" t="str">
        <f>IFERROR(VLOOKUP(N27,Teilnehmer[],3,FALSE),"")</f>
        <v/>
      </c>
      <c r="Q27" s="65" t="str">
        <f>IFERROR(VLOOKUP(N27,Teilnehmer[],5,FALSE),"")</f>
        <v/>
      </c>
    </row>
    <row r="28" spans="1:17" ht="15.75">
      <c r="A28" s="128">
        <f t="shared" si="0"/>
        <v>22</v>
      </c>
      <c r="B28" s="214" t="str">
        <f>IFERROR(INDEX(Teilnehmer[LfNr],_xlfn.AGGREGATE(15,6,ROW(Teilnehmer[LfNr])/((Teilnehmer[Großgruppe]=$E$4)),ROW()-6)-1,1),"")</f>
        <v/>
      </c>
      <c r="C28" s="215" t="str">
        <f>IFERROR(VLOOKUP(B28,Teilnehmer[],2,FALSE),"")</f>
        <v/>
      </c>
      <c r="D28" s="215" t="str">
        <f>IFERROR(VLOOKUP(B28,Teilnehmer[],3,FALSE),"")</f>
        <v/>
      </c>
      <c r="E28" s="130" t="str">
        <f>IFERROR(VLOOKUP(B28,Teilnehmer[],5,FALSE),"")</f>
        <v/>
      </c>
      <c r="F28" s="10"/>
      <c r="G28" s="128">
        <f t="shared" si="1"/>
        <v>22</v>
      </c>
      <c r="H28" s="219" t="str">
        <f>IFERROR(INDEX(Teilnehmer[LfNr],_xlfn.AGGREGATE(15,6,ROW(Teilnehmer[LfNr])/((Teilnehmer[Großgruppe]=$K$4)),ROW()-6)-1,1),"")</f>
        <v/>
      </c>
      <c r="I28" s="215" t="str">
        <f>IFERROR(VLOOKUP(H28,Teilnehmer[],2,FALSE),"")</f>
        <v/>
      </c>
      <c r="J28" s="215" t="str">
        <f>IFERROR(VLOOKUP(H28,Teilnehmer[],3,FALSE),"")</f>
        <v/>
      </c>
      <c r="K28" s="130" t="str">
        <f>IFERROR(VLOOKUP(H28,Teilnehmer[],5,FALSE),"")</f>
        <v/>
      </c>
      <c r="M28" s="128">
        <f t="shared" si="2"/>
        <v>22</v>
      </c>
      <c r="N28" s="220" t="str">
        <f>IFERROR(INDEX(Teilnehmer[LfNr],_xlfn.AGGREGATE(15,6,ROW(Teilnehmer[LfNr])/((Teilnehmer[Großgruppe]=$Q$4)),ROW()-6)-1,1),"")</f>
        <v/>
      </c>
      <c r="O28" s="215" t="str">
        <f>IFERROR(VLOOKUP(N28,Teilnehmer[],2,FALSE),"")</f>
        <v/>
      </c>
      <c r="P28" s="215" t="str">
        <f>IFERROR(VLOOKUP(N28,Teilnehmer[],3,FALSE),"")</f>
        <v/>
      </c>
      <c r="Q28" s="65" t="str">
        <f>IFERROR(VLOOKUP(N28,Teilnehmer[],5,FALSE),"")</f>
        <v/>
      </c>
    </row>
    <row r="29" spans="1:17" ht="15.75">
      <c r="A29" s="128">
        <f t="shared" si="0"/>
        <v>23</v>
      </c>
      <c r="B29" s="217" t="str">
        <f>IFERROR(INDEX(Teilnehmer[LfNr],_xlfn.AGGREGATE(15,6,ROW(Teilnehmer[LfNr])/((Teilnehmer[Großgruppe]=$E$4)),ROW()-6)-1,1),"")</f>
        <v/>
      </c>
      <c r="C29" s="216" t="str">
        <f>IFERROR(VLOOKUP(B29,Teilnehmer[],2,FALSE),"")</f>
        <v/>
      </c>
      <c r="D29" s="216" t="str">
        <f>IFERROR(VLOOKUP(B29,Teilnehmer[],3,FALSE),"")</f>
        <v/>
      </c>
      <c r="E29" s="130" t="str">
        <f>IFERROR(VLOOKUP(B29,Teilnehmer[],5,FALSE),"")</f>
        <v/>
      </c>
      <c r="F29" s="10"/>
      <c r="G29" s="128">
        <f t="shared" si="1"/>
        <v>23</v>
      </c>
      <c r="H29" s="219" t="str">
        <f>IFERROR(INDEX(Teilnehmer[LfNr],_xlfn.AGGREGATE(15,6,ROW(Teilnehmer[LfNr])/((Teilnehmer[Großgruppe]=$K$4)),ROW()-6)-1,1),"")</f>
        <v/>
      </c>
      <c r="I29" s="215" t="str">
        <f>IFERROR(VLOOKUP(H29,Teilnehmer[],2,FALSE),"")</f>
        <v/>
      </c>
      <c r="J29" s="215" t="str">
        <f>IFERROR(VLOOKUP(H29,Teilnehmer[],3,FALSE),"")</f>
        <v/>
      </c>
      <c r="K29" s="130" t="str">
        <f>IFERROR(VLOOKUP(H29,Teilnehmer[],5,FALSE),"")</f>
        <v/>
      </c>
      <c r="M29" s="128">
        <f t="shared" si="2"/>
        <v>23</v>
      </c>
      <c r="N29" s="220" t="str">
        <f>IFERROR(INDEX(Teilnehmer[LfNr],_xlfn.AGGREGATE(15,6,ROW(Teilnehmer[LfNr])/((Teilnehmer[Großgruppe]=$Q$4)),ROW()-6)-1,1),"")</f>
        <v/>
      </c>
      <c r="O29" s="215" t="str">
        <f>IFERROR(VLOOKUP(N29,Teilnehmer[],2,FALSE),"")</f>
        <v/>
      </c>
      <c r="P29" s="215" t="str">
        <f>IFERROR(VLOOKUP(N29,Teilnehmer[],3,FALSE),"")</f>
        <v/>
      </c>
      <c r="Q29" s="65" t="str">
        <f>IFERROR(VLOOKUP(N29,Teilnehmer[],5,FALSE),"")</f>
        <v/>
      </c>
    </row>
    <row r="30" spans="1:17" ht="15.75" thickBot="1">
      <c r="A30" s="131">
        <f t="shared" si="0"/>
        <v>24</v>
      </c>
      <c r="B30" s="218" t="str">
        <f>IFERROR(INDEX(Teilnehmer[LfNr],_xlfn.AGGREGATE(15,6,ROW(Teilnehmer[LfNr])/((Teilnehmer[Großgruppe]=$E$4)),ROW()-6)-1,1),"")</f>
        <v/>
      </c>
      <c r="C30" s="213" t="str">
        <f>IFERROR(VLOOKUP(B30,Teilnehmer[],2,FALSE),"")</f>
        <v/>
      </c>
      <c r="D30" s="213" t="str">
        <f>IFERROR(VLOOKUP(B30,Teilnehmer[],3,FALSE),"")</f>
        <v/>
      </c>
      <c r="E30" s="132" t="str">
        <f>IFERROR(VLOOKUP(B30,Teilnehmer[],5,FALSE),"")</f>
        <v/>
      </c>
      <c r="G30" s="131">
        <f t="shared" si="1"/>
        <v>24</v>
      </c>
      <c r="H30" s="198" t="str">
        <f>IFERROR(INDEX(Teilnehmer[LfNr],_xlfn.AGGREGATE(15,6,ROW(Teilnehmer[LfNr])/((Teilnehmer[Großgruppe]=$K$4)),ROW()-6)-1,1),"")</f>
        <v/>
      </c>
      <c r="I30" s="68" t="str">
        <f>IFERROR(VLOOKUP(H30,Teilnehmer[],2,FALSE),"")</f>
        <v/>
      </c>
      <c r="J30" s="68" t="str">
        <f>IFERROR(VLOOKUP(H30,Teilnehmer[],3,FALSE),"")</f>
        <v/>
      </c>
      <c r="K30" s="132" t="str">
        <f>IFERROR(VLOOKUP(H30,Teilnehmer[],5,FALSE),"")</f>
        <v/>
      </c>
      <c r="M30" s="131">
        <f t="shared" si="2"/>
        <v>24</v>
      </c>
      <c r="N30" s="133" t="str">
        <f>IFERROR(INDEX(Teilnehmer[LfNr],_xlfn.AGGREGATE(15,6,ROW(Teilnehmer[LfNr])/((Teilnehmer[Großgruppe]=$Q$4)),ROW()-6)-1,1),"")</f>
        <v/>
      </c>
      <c r="O30" s="68" t="str">
        <f>IFERROR(VLOOKUP(N30,Teilnehmer[],2,FALSE),"")</f>
        <v/>
      </c>
      <c r="P30" s="68" t="str">
        <f>IFERROR(VLOOKUP(N30,Teilnehmer[],3,FALSE),"")</f>
        <v/>
      </c>
      <c r="Q30" s="69" t="str">
        <f>IFERROR(VLOOKUP(N30,Teilnehmer[],5,FALSE),"")</f>
        <v/>
      </c>
    </row>
    <row r="31" spans="1:17" ht="15.75" thickTop="1"/>
  </sheetData>
  <sheetProtection algorithmName="SHA-512" hashValue="pgRcrecoJiq5POTgTVnnDZ9jNEs2I2WQeyGiWLFhCiYI2reLbCt3nZ+xwXCEOH8F1NQT2CwRGiSKBZjnEDxqVQ==" saltValue="p2LAACLkE7XjSBEesCtc6Q==" spinCount="100000" sheet="1" objects="1" selectLockedCells="1"/>
  <mergeCells count="4">
    <mergeCell ref="E2:G2"/>
    <mergeCell ref="C5:E5"/>
    <mergeCell ref="I5:K5"/>
    <mergeCell ref="O5:Q5"/>
  </mergeCells>
  <conditionalFormatting sqref="C5:E5">
    <cfRule type="expression" dxfId="16" priority="3">
      <formula>AND(ISBLANK($C$5),$B$7&lt;&gt;"")</formula>
    </cfRule>
  </conditionalFormatting>
  <conditionalFormatting sqref="I5:K5">
    <cfRule type="expression" dxfId="15" priority="2">
      <formula>AND(ISBLANK($I$5),$H$7&lt;&gt;"")</formula>
    </cfRule>
  </conditionalFormatting>
  <conditionalFormatting sqref="O5:Q5">
    <cfRule type="expression" dxfId="14" priority="1">
      <formula>AND(ISBLANK($O$5),$N$7&lt;&gt;"")</formula>
    </cfRule>
  </conditionalFormatting>
  <pageMargins left="0.59055118110236227" right="0.59055118110236227" top="0.59055118110236227" bottom="0.62992125984251968" header="0.31496062992125984" footer="0.31496062992125984"/>
  <pageSetup paperSize="9" orientation="landscape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BE1C-B2B3-47B7-9BC3-78DA649ECF91}">
  <sheetPr codeName="Tabelle3">
    <tabColor rgb="FF0070C0"/>
  </sheetPr>
  <dimension ref="A1:AW26"/>
  <sheetViews>
    <sheetView showGridLines="0" showRowColHeaders="0" zoomScale="90" zoomScaleNormal="90" workbookViewId="0">
      <selection activeCell="C7" sqref="C7"/>
    </sheetView>
  </sheetViews>
  <sheetFormatPr baseColWidth="10" defaultRowHeight="15"/>
  <cols>
    <col min="1" max="1" width="1.85546875" style="239" customWidth="1"/>
    <col min="2" max="2" width="3.28515625" style="239" customWidth="1"/>
    <col min="3" max="3" width="32.7109375" style="239" customWidth="1"/>
    <col min="4" max="49" width="4.7109375" style="239" customWidth="1"/>
    <col min="50" max="16384" width="11.42578125" style="239"/>
  </cols>
  <sheetData>
    <row r="1" spans="2:49" ht="9" customHeight="1" thickBot="1"/>
    <row r="2" spans="2:49" ht="37.5" customHeight="1" thickBot="1">
      <c r="B2" s="341" t="s">
        <v>83</v>
      </c>
      <c r="C2" s="339"/>
      <c r="D2" s="339"/>
      <c r="E2" s="339" t="s">
        <v>129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40"/>
    </row>
    <row r="3" spans="2:49" s="240" customFormat="1" ht="26.1" customHeight="1" thickBot="1">
      <c r="B3" s="356" t="s">
        <v>99</v>
      </c>
      <c r="C3" s="357"/>
      <c r="D3" s="358"/>
      <c r="E3" s="351" t="s">
        <v>96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/>
      <c r="W3" s="351" t="s">
        <v>97</v>
      </c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3"/>
    </row>
    <row r="4" spans="2:49" ht="26.1" customHeight="1" thickBot="1">
      <c r="B4" s="359" t="str">
        <f>IFERROR(IF(Deckblatt!C8=0,"",Deckblatt!C8),"")</f>
        <v/>
      </c>
      <c r="C4" s="360"/>
      <c r="D4" s="361"/>
      <c r="E4" s="336" t="s">
        <v>84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/>
      <c r="W4" s="347" t="s">
        <v>85</v>
      </c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36" t="s">
        <v>86</v>
      </c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8"/>
    </row>
    <row r="5" spans="2:49" ht="33" customHeight="1">
      <c r="B5" s="362" t="s">
        <v>118</v>
      </c>
      <c r="C5" s="363"/>
      <c r="D5" s="241" t="str">
        <f>IFERROR(IF(Startgebühr!D18=0,"",Startgebühr!D18),"")</f>
        <v/>
      </c>
      <c r="E5" s="364" t="s">
        <v>121</v>
      </c>
      <c r="F5" s="345"/>
      <c r="G5" s="346"/>
      <c r="H5" s="364" t="s">
        <v>122</v>
      </c>
      <c r="I5" s="345"/>
      <c r="J5" s="346"/>
      <c r="K5" s="364" t="s">
        <v>123</v>
      </c>
      <c r="L5" s="345"/>
      <c r="M5" s="346"/>
      <c r="N5" s="342" t="s">
        <v>124</v>
      </c>
      <c r="O5" s="343"/>
      <c r="P5" s="344"/>
      <c r="Q5" s="342" t="s">
        <v>125</v>
      </c>
      <c r="R5" s="343"/>
      <c r="S5" s="344"/>
      <c r="T5" s="342" t="s">
        <v>126</v>
      </c>
      <c r="U5" s="343"/>
      <c r="V5" s="344"/>
      <c r="W5" s="345" t="s">
        <v>88</v>
      </c>
      <c r="X5" s="345"/>
      <c r="Y5" s="346"/>
      <c r="Z5" s="364" t="s">
        <v>127</v>
      </c>
      <c r="AA5" s="345"/>
      <c r="AB5" s="346"/>
      <c r="AC5" s="364" t="s">
        <v>87</v>
      </c>
      <c r="AD5" s="345"/>
      <c r="AE5" s="346"/>
      <c r="AF5" s="342" t="s">
        <v>89</v>
      </c>
      <c r="AG5" s="343"/>
      <c r="AH5" s="344"/>
      <c r="AI5" s="342" t="s">
        <v>128</v>
      </c>
      <c r="AJ5" s="343"/>
      <c r="AK5" s="343"/>
      <c r="AL5" s="348" t="s">
        <v>90</v>
      </c>
      <c r="AM5" s="349"/>
      <c r="AN5" s="350"/>
      <c r="AO5" s="348" t="s">
        <v>91</v>
      </c>
      <c r="AP5" s="349"/>
      <c r="AQ5" s="350"/>
      <c r="AR5" s="348" t="s">
        <v>98</v>
      </c>
      <c r="AS5" s="349"/>
      <c r="AT5" s="350"/>
      <c r="AU5" s="348" t="s">
        <v>92</v>
      </c>
      <c r="AV5" s="349"/>
      <c r="AW5" s="350"/>
    </row>
    <row r="6" spans="2:49" ht="32.25" customHeight="1" thickBot="1">
      <c r="B6" s="266" t="s">
        <v>101</v>
      </c>
      <c r="C6" s="242" t="s">
        <v>100</v>
      </c>
      <c r="D6" s="243"/>
      <c r="E6" s="244" t="s">
        <v>93</v>
      </c>
      <c r="F6" s="245" t="s">
        <v>94</v>
      </c>
      <c r="G6" s="246" t="s">
        <v>95</v>
      </c>
      <c r="H6" s="244" t="s">
        <v>93</v>
      </c>
      <c r="I6" s="245" t="s">
        <v>94</v>
      </c>
      <c r="J6" s="246" t="s">
        <v>95</v>
      </c>
      <c r="K6" s="244" t="s">
        <v>93</v>
      </c>
      <c r="L6" s="245" t="s">
        <v>94</v>
      </c>
      <c r="M6" s="246" t="s">
        <v>95</v>
      </c>
      <c r="N6" s="244" t="s">
        <v>93</v>
      </c>
      <c r="O6" s="245" t="s">
        <v>94</v>
      </c>
      <c r="P6" s="246" t="s">
        <v>95</v>
      </c>
      <c r="Q6" s="244" t="s">
        <v>93</v>
      </c>
      <c r="R6" s="245" t="s">
        <v>94</v>
      </c>
      <c r="S6" s="246" t="s">
        <v>95</v>
      </c>
      <c r="T6" s="244" t="s">
        <v>93</v>
      </c>
      <c r="U6" s="245" t="s">
        <v>94</v>
      </c>
      <c r="V6" s="247" t="s">
        <v>95</v>
      </c>
      <c r="W6" s="248" t="s">
        <v>93</v>
      </c>
      <c r="X6" s="245" t="s">
        <v>94</v>
      </c>
      <c r="Y6" s="246" t="s">
        <v>95</v>
      </c>
      <c r="Z6" s="244" t="s">
        <v>93</v>
      </c>
      <c r="AA6" s="245" t="s">
        <v>94</v>
      </c>
      <c r="AB6" s="246" t="s">
        <v>95</v>
      </c>
      <c r="AC6" s="244" t="s">
        <v>93</v>
      </c>
      <c r="AD6" s="245" t="s">
        <v>94</v>
      </c>
      <c r="AE6" s="246" t="s">
        <v>95</v>
      </c>
      <c r="AF6" s="244" t="s">
        <v>93</v>
      </c>
      <c r="AG6" s="245" t="s">
        <v>94</v>
      </c>
      <c r="AH6" s="246" t="s">
        <v>95</v>
      </c>
      <c r="AI6" s="244" t="s">
        <v>93</v>
      </c>
      <c r="AJ6" s="245" t="s">
        <v>94</v>
      </c>
      <c r="AK6" s="294" t="s">
        <v>95</v>
      </c>
      <c r="AL6" s="244" t="s">
        <v>93</v>
      </c>
      <c r="AM6" s="245" t="s">
        <v>94</v>
      </c>
      <c r="AN6" s="246" t="s">
        <v>95</v>
      </c>
      <c r="AO6" s="244" t="s">
        <v>93</v>
      </c>
      <c r="AP6" s="245" t="s">
        <v>94</v>
      </c>
      <c r="AQ6" s="246" t="s">
        <v>95</v>
      </c>
      <c r="AR6" s="244" t="s">
        <v>93</v>
      </c>
      <c r="AS6" s="245" t="s">
        <v>94</v>
      </c>
      <c r="AT6" s="246" t="s">
        <v>95</v>
      </c>
      <c r="AU6" s="244" t="s">
        <v>93</v>
      </c>
      <c r="AV6" s="245" t="s">
        <v>94</v>
      </c>
      <c r="AW6" s="246" t="s">
        <v>95</v>
      </c>
    </row>
    <row r="7" spans="2:49" ht="23.1" customHeight="1">
      <c r="B7" s="249">
        <v>1</v>
      </c>
      <c r="C7" s="235"/>
      <c r="D7" s="354" t="s">
        <v>117</v>
      </c>
      <c r="E7" s="229"/>
      <c r="F7" s="230"/>
      <c r="G7" s="231"/>
      <c r="H7" s="229"/>
      <c r="I7" s="230"/>
      <c r="J7" s="231"/>
      <c r="K7" s="229"/>
      <c r="L7" s="230"/>
      <c r="M7" s="231"/>
      <c r="N7" s="229"/>
      <c r="O7" s="230"/>
      <c r="P7" s="231"/>
      <c r="Q7" s="229"/>
      <c r="R7" s="230"/>
      <c r="S7" s="231"/>
      <c r="T7" s="229"/>
      <c r="U7" s="230"/>
      <c r="V7" s="231"/>
      <c r="W7" s="229"/>
      <c r="X7" s="230"/>
      <c r="Y7" s="231"/>
      <c r="Z7" s="229"/>
      <c r="AA7" s="230"/>
      <c r="AB7" s="231"/>
      <c r="AC7" s="229"/>
      <c r="AD7" s="230"/>
      <c r="AE7" s="231"/>
      <c r="AF7" s="229"/>
      <c r="AG7" s="230"/>
      <c r="AH7" s="231"/>
      <c r="AI7" s="229"/>
      <c r="AJ7" s="230"/>
      <c r="AK7" s="295"/>
      <c r="AL7" s="229"/>
      <c r="AM7" s="230"/>
      <c r="AN7" s="231"/>
      <c r="AO7" s="229"/>
      <c r="AP7" s="230"/>
      <c r="AQ7" s="231"/>
      <c r="AR7" s="229"/>
      <c r="AS7" s="230"/>
      <c r="AT7" s="231"/>
      <c r="AU7" s="229"/>
      <c r="AV7" s="230"/>
      <c r="AW7" s="231"/>
    </row>
    <row r="8" spans="2:49" ht="23.1" customHeight="1">
      <c r="B8" s="250">
        <v>2</v>
      </c>
      <c r="C8" s="236"/>
      <c r="D8" s="354"/>
      <c r="E8" s="223"/>
      <c r="F8" s="224"/>
      <c r="G8" s="225"/>
      <c r="H8" s="223"/>
      <c r="I8" s="224"/>
      <c r="J8" s="225"/>
      <c r="K8" s="223"/>
      <c r="L8" s="224"/>
      <c r="M8" s="225"/>
      <c r="N8" s="223"/>
      <c r="O8" s="224"/>
      <c r="P8" s="225"/>
      <c r="Q8" s="223"/>
      <c r="R8" s="224"/>
      <c r="S8" s="225"/>
      <c r="T8" s="223"/>
      <c r="U8" s="224"/>
      <c r="V8" s="225"/>
      <c r="W8" s="223"/>
      <c r="X8" s="224"/>
      <c r="Y8" s="225"/>
      <c r="Z8" s="223"/>
      <c r="AA8" s="224"/>
      <c r="AB8" s="225"/>
      <c r="AC8" s="223"/>
      <c r="AD8" s="224"/>
      <c r="AE8" s="225"/>
      <c r="AF8" s="223"/>
      <c r="AG8" s="224"/>
      <c r="AH8" s="225"/>
      <c r="AI8" s="223"/>
      <c r="AJ8" s="224"/>
      <c r="AK8" s="296"/>
      <c r="AL8" s="223"/>
      <c r="AM8" s="224"/>
      <c r="AN8" s="225"/>
      <c r="AO8" s="223"/>
      <c r="AP8" s="224"/>
      <c r="AQ8" s="225"/>
      <c r="AR8" s="223"/>
      <c r="AS8" s="224"/>
      <c r="AT8" s="225"/>
      <c r="AU8" s="223"/>
      <c r="AV8" s="224"/>
      <c r="AW8" s="225"/>
    </row>
    <row r="9" spans="2:49" ht="23.1" customHeight="1">
      <c r="B9" s="250">
        <v>3</v>
      </c>
      <c r="C9" s="237"/>
      <c r="D9" s="354"/>
      <c r="E9" s="232"/>
      <c r="F9" s="233"/>
      <c r="G9" s="234"/>
      <c r="H9" s="232"/>
      <c r="I9" s="233"/>
      <c r="J9" s="234"/>
      <c r="K9" s="232"/>
      <c r="L9" s="233"/>
      <c r="M9" s="234"/>
      <c r="N9" s="232"/>
      <c r="O9" s="233"/>
      <c r="P9" s="234"/>
      <c r="Q9" s="232"/>
      <c r="R9" s="233"/>
      <c r="S9" s="234"/>
      <c r="T9" s="232"/>
      <c r="U9" s="233"/>
      <c r="V9" s="234"/>
      <c r="W9" s="232"/>
      <c r="X9" s="233"/>
      <c r="Y9" s="234"/>
      <c r="Z9" s="232"/>
      <c r="AA9" s="233"/>
      <c r="AB9" s="234"/>
      <c r="AC9" s="232"/>
      <c r="AD9" s="233"/>
      <c r="AE9" s="234"/>
      <c r="AF9" s="232"/>
      <c r="AG9" s="233"/>
      <c r="AH9" s="234"/>
      <c r="AI9" s="232"/>
      <c r="AJ9" s="233"/>
      <c r="AK9" s="297"/>
      <c r="AL9" s="232"/>
      <c r="AM9" s="233"/>
      <c r="AN9" s="234"/>
      <c r="AO9" s="232"/>
      <c r="AP9" s="233"/>
      <c r="AQ9" s="234"/>
      <c r="AR9" s="232"/>
      <c r="AS9" s="233"/>
      <c r="AT9" s="234"/>
      <c r="AU9" s="232"/>
      <c r="AV9" s="233"/>
      <c r="AW9" s="234"/>
    </row>
    <row r="10" spans="2:49" ht="23.1" customHeight="1">
      <c r="B10" s="250">
        <v>4</v>
      </c>
      <c r="C10" s="236"/>
      <c r="D10" s="354"/>
      <c r="E10" s="223"/>
      <c r="F10" s="224"/>
      <c r="G10" s="225"/>
      <c r="H10" s="223"/>
      <c r="I10" s="224"/>
      <c r="J10" s="225"/>
      <c r="K10" s="223"/>
      <c r="L10" s="224"/>
      <c r="M10" s="225"/>
      <c r="N10" s="223"/>
      <c r="O10" s="224"/>
      <c r="P10" s="225"/>
      <c r="Q10" s="223"/>
      <c r="R10" s="224"/>
      <c r="S10" s="225"/>
      <c r="T10" s="223"/>
      <c r="U10" s="224"/>
      <c r="V10" s="225"/>
      <c r="W10" s="223"/>
      <c r="X10" s="224"/>
      <c r="Y10" s="225"/>
      <c r="Z10" s="223"/>
      <c r="AA10" s="224"/>
      <c r="AB10" s="225"/>
      <c r="AC10" s="223"/>
      <c r="AD10" s="224"/>
      <c r="AE10" s="225"/>
      <c r="AF10" s="223"/>
      <c r="AG10" s="224"/>
      <c r="AH10" s="225"/>
      <c r="AI10" s="223"/>
      <c r="AJ10" s="224"/>
      <c r="AK10" s="296"/>
      <c r="AL10" s="223"/>
      <c r="AM10" s="224"/>
      <c r="AN10" s="225"/>
      <c r="AO10" s="223"/>
      <c r="AP10" s="224"/>
      <c r="AQ10" s="225"/>
      <c r="AR10" s="223"/>
      <c r="AS10" s="224"/>
      <c r="AT10" s="225"/>
      <c r="AU10" s="223"/>
      <c r="AV10" s="224"/>
      <c r="AW10" s="225"/>
    </row>
    <row r="11" spans="2:49" ht="23.1" customHeight="1">
      <c r="B11" s="250">
        <v>5</v>
      </c>
      <c r="C11" s="237"/>
      <c r="D11" s="354"/>
      <c r="E11" s="232"/>
      <c r="F11" s="233"/>
      <c r="G11" s="234"/>
      <c r="H11" s="232"/>
      <c r="I11" s="233"/>
      <c r="J11" s="234"/>
      <c r="K11" s="232"/>
      <c r="L11" s="233"/>
      <c r="M11" s="234"/>
      <c r="N11" s="232"/>
      <c r="O11" s="233"/>
      <c r="P11" s="234"/>
      <c r="Q11" s="232"/>
      <c r="R11" s="233"/>
      <c r="S11" s="234"/>
      <c r="T11" s="232"/>
      <c r="U11" s="233"/>
      <c r="V11" s="234"/>
      <c r="W11" s="232"/>
      <c r="X11" s="233"/>
      <c r="Y11" s="234"/>
      <c r="Z11" s="232"/>
      <c r="AA11" s="233"/>
      <c r="AB11" s="234"/>
      <c r="AC11" s="232"/>
      <c r="AD11" s="233"/>
      <c r="AE11" s="234"/>
      <c r="AF11" s="232"/>
      <c r="AG11" s="233"/>
      <c r="AH11" s="234"/>
      <c r="AI11" s="232"/>
      <c r="AJ11" s="233"/>
      <c r="AK11" s="297"/>
      <c r="AL11" s="232"/>
      <c r="AM11" s="233"/>
      <c r="AN11" s="234"/>
      <c r="AO11" s="232"/>
      <c r="AP11" s="233"/>
      <c r="AQ11" s="234"/>
      <c r="AR11" s="232"/>
      <c r="AS11" s="233"/>
      <c r="AT11" s="234"/>
      <c r="AU11" s="232"/>
      <c r="AV11" s="233"/>
      <c r="AW11" s="234"/>
    </row>
    <row r="12" spans="2:49" ht="23.1" customHeight="1">
      <c r="B12" s="250">
        <v>6</v>
      </c>
      <c r="C12" s="236"/>
      <c r="D12" s="354"/>
      <c r="E12" s="223"/>
      <c r="F12" s="224"/>
      <c r="G12" s="225"/>
      <c r="H12" s="223"/>
      <c r="I12" s="224"/>
      <c r="J12" s="225"/>
      <c r="K12" s="223"/>
      <c r="L12" s="224"/>
      <c r="M12" s="225"/>
      <c r="N12" s="223"/>
      <c r="O12" s="224"/>
      <c r="P12" s="225"/>
      <c r="Q12" s="223"/>
      <c r="R12" s="224"/>
      <c r="S12" s="225"/>
      <c r="T12" s="223"/>
      <c r="U12" s="224"/>
      <c r="V12" s="225"/>
      <c r="W12" s="223"/>
      <c r="X12" s="224"/>
      <c r="Y12" s="225"/>
      <c r="Z12" s="223"/>
      <c r="AA12" s="224"/>
      <c r="AB12" s="225"/>
      <c r="AC12" s="223"/>
      <c r="AD12" s="224"/>
      <c r="AE12" s="225"/>
      <c r="AF12" s="223"/>
      <c r="AG12" s="224"/>
      <c r="AH12" s="225"/>
      <c r="AI12" s="223"/>
      <c r="AJ12" s="224"/>
      <c r="AK12" s="296"/>
      <c r="AL12" s="223"/>
      <c r="AM12" s="224"/>
      <c r="AN12" s="225"/>
      <c r="AO12" s="223"/>
      <c r="AP12" s="224"/>
      <c r="AQ12" s="225"/>
      <c r="AR12" s="223"/>
      <c r="AS12" s="224"/>
      <c r="AT12" s="225"/>
      <c r="AU12" s="223"/>
      <c r="AV12" s="224"/>
      <c r="AW12" s="225"/>
    </row>
    <row r="13" spans="2:49" ht="23.1" customHeight="1">
      <c r="B13" s="250">
        <v>7</v>
      </c>
      <c r="C13" s="237"/>
      <c r="D13" s="354"/>
      <c r="E13" s="232"/>
      <c r="F13" s="233"/>
      <c r="G13" s="234"/>
      <c r="H13" s="232"/>
      <c r="I13" s="233"/>
      <c r="J13" s="234"/>
      <c r="K13" s="232"/>
      <c r="L13" s="233"/>
      <c r="M13" s="234"/>
      <c r="N13" s="232"/>
      <c r="O13" s="233"/>
      <c r="P13" s="234"/>
      <c r="Q13" s="232"/>
      <c r="R13" s="233"/>
      <c r="S13" s="234"/>
      <c r="T13" s="232"/>
      <c r="U13" s="233"/>
      <c r="V13" s="234"/>
      <c r="W13" s="232"/>
      <c r="X13" s="233"/>
      <c r="Y13" s="234"/>
      <c r="Z13" s="232"/>
      <c r="AA13" s="233"/>
      <c r="AB13" s="234"/>
      <c r="AC13" s="232"/>
      <c r="AD13" s="233"/>
      <c r="AE13" s="234"/>
      <c r="AF13" s="232"/>
      <c r="AG13" s="233"/>
      <c r="AH13" s="234"/>
      <c r="AI13" s="232"/>
      <c r="AJ13" s="233"/>
      <c r="AK13" s="297"/>
      <c r="AL13" s="232"/>
      <c r="AM13" s="233"/>
      <c r="AN13" s="234"/>
      <c r="AO13" s="232"/>
      <c r="AP13" s="233"/>
      <c r="AQ13" s="234"/>
      <c r="AR13" s="232"/>
      <c r="AS13" s="233"/>
      <c r="AT13" s="234"/>
      <c r="AU13" s="232"/>
      <c r="AV13" s="233"/>
      <c r="AW13" s="234"/>
    </row>
    <row r="14" spans="2:49" ht="23.1" customHeight="1">
      <c r="B14" s="250">
        <v>8</v>
      </c>
      <c r="C14" s="236"/>
      <c r="D14" s="354"/>
      <c r="E14" s="223"/>
      <c r="F14" s="224"/>
      <c r="G14" s="225"/>
      <c r="H14" s="223"/>
      <c r="I14" s="224"/>
      <c r="J14" s="225"/>
      <c r="K14" s="223"/>
      <c r="L14" s="224"/>
      <c r="M14" s="225"/>
      <c r="N14" s="223"/>
      <c r="O14" s="224"/>
      <c r="P14" s="225"/>
      <c r="Q14" s="223"/>
      <c r="R14" s="224"/>
      <c r="S14" s="225"/>
      <c r="T14" s="223"/>
      <c r="U14" s="224"/>
      <c r="V14" s="225"/>
      <c r="W14" s="223"/>
      <c r="X14" s="224"/>
      <c r="Y14" s="225"/>
      <c r="Z14" s="223"/>
      <c r="AA14" s="224"/>
      <c r="AB14" s="225"/>
      <c r="AC14" s="223"/>
      <c r="AD14" s="224"/>
      <c r="AE14" s="225"/>
      <c r="AF14" s="223"/>
      <c r="AG14" s="224"/>
      <c r="AH14" s="225"/>
      <c r="AI14" s="223"/>
      <c r="AJ14" s="224"/>
      <c r="AK14" s="296"/>
      <c r="AL14" s="223"/>
      <c r="AM14" s="224"/>
      <c r="AN14" s="225"/>
      <c r="AO14" s="223"/>
      <c r="AP14" s="224"/>
      <c r="AQ14" s="225"/>
      <c r="AR14" s="223"/>
      <c r="AS14" s="224"/>
      <c r="AT14" s="225"/>
      <c r="AU14" s="223"/>
      <c r="AV14" s="224"/>
      <c r="AW14" s="225"/>
    </row>
    <row r="15" spans="2:49" ht="23.1" customHeight="1">
      <c r="B15" s="250">
        <v>9</v>
      </c>
      <c r="C15" s="237"/>
      <c r="D15" s="354"/>
      <c r="E15" s="232"/>
      <c r="F15" s="233"/>
      <c r="G15" s="234"/>
      <c r="H15" s="232"/>
      <c r="I15" s="233"/>
      <c r="J15" s="234"/>
      <c r="K15" s="232"/>
      <c r="L15" s="233"/>
      <c r="M15" s="234"/>
      <c r="N15" s="232"/>
      <c r="O15" s="233"/>
      <c r="P15" s="234"/>
      <c r="Q15" s="232"/>
      <c r="R15" s="233"/>
      <c r="S15" s="234"/>
      <c r="T15" s="232"/>
      <c r="U15" s="233"/>
      <c r="V15" s="234"/>
      <c r="W15" s="232"/>
      <c r="X15" s="233"/>
      <c r="Y15" s="234"/>
      <c r="Z15" s="232"/>
      <c r="AA15" s="233"/>
      <c r="AB15" s="234"/>
      <c r="AC15" s="232"/>
      <c r="AD15" s="233"/>
      <c r="AE15" s="234"/>
      <c r="AF15" s="232"/>
      <c r="AG15" s="233"/>
      <c r="AH15" s="234"/>
      <c r="AI15" s="232"/>
      <c r="AJ15" s="233"/>
      <c r="AK15" s="297"/>
      <c r="AL15" s="232"/>
      <c r="AM15" s="233"/>
      <c r="AN15" s="234"/>
      <c r="AO15" s="232"/>
      <c r="AP15" s="233"/>
      <c r="AQ15" s="234"/>
      <c r="AR15" s="232"/>
      <c r="AS15" s="233"/>
      <c r="AT15" s="234"/>
      <c r="AU15" s="232"/>
      <c r="AV15" s="233"/>
      <c r="AW15" s="234"/>
    </row>
    <row r="16" spans="2:49" ht="23.1" customHeight="1" thickBot="1">
      <c r="B16" s="251">
        <v>10</v>
      </c>
      <c r="C16" s="238"/>
      <c r="D16" s="355"/>
      <c r="E16" s="226"/>
      <c r="F16" s="227"/>
      <c r="G16" s="228"/>
      <c r="H16" s="226"/>
      <c r="I16" s="227"/>
      <c r="J16" s="228"/>
      <c r="K16" s="226"/>
      <c r="L16" s="227"/>
      <c r="M16" s="228"/>
      <c r="N16" s="226"/>
      <c r="O16" s="227"/>
      <c r="P16" s="228"/>
      <c r="Q16" s="226"/>
      <c r="R16" s="227"/>
      <c r="S16" s="228"/>
      <c r="T16" s="226"/>
      <c r="U16" s="227"/>
      <c r="V16" s="228"/>
      <c r="W16" s="226"/>
      <c r="X16" s="227"/>
      <c r="Y16" s="228"/>
      <c r="Z16" s="226"/>
      <c r="AA16" s="227"/>
      <c r="AB16" s="228"/>
      <c r="AC16" s="226"/>
      <c r="AD16" s="227"/>
      <c r="AE16" s="228"/>
      <c r="AF16" s="226"/>
      <c r="AG16" s="227"/>
      <c r="AH16" s="228"/>
      <c r="AI16" s="226"/>
      <c r="AJ16" s="227"/>
      <c r="AK16" s="298"/>
      <c r="AL16" s="226"/>
      <c r="AM16" s="227"/>
      <c r="AN16" s="228"/>
      <c r="AO16" s="226"/>
      <c r="AP16" s="227"/>
      <c r="AQ16" s="228"/>
      <c r="AR16" s="226"/>
      <c r="AS16" s="227"/>
      <c r="AT16" s="228"/>
      <c r="AU16" s="226"/>
      <c r="AV16" s="227"/>
      <c r="AW16" s="228"/>
    </row>
    <row r="17" spans="1:13" ht="10.5" customHeight="1"/>
    <row r="18" spans="1:13">
      <c r="B18" s="240" t="s">
        <v>109</v>
      </c>
      <c r="H18" s="252"/>
      <c r="I18" s="252"/>
      <c r="J18" s="252"/>
      <c r="K18" s="252"/>
      <c r="L18" s="252"/>
      <c r="M18" s="252"/>
    </row>
    <row r="19" spans="1:13" ht="7.5" customHeight="1" thickBot="1">
      <c r="A19" s="254">
        <f>Startgebühr!D18</f>
        <v>0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.75" thickBot="1">
      <c r="A20" s="254">
        <f>COUNTA(Tabelle15[Namen der Juroren:])</f>
        <v>0</v>
      </c>
      <c r="B20" s="255"/>
      <c r="C20" s="260" t="s">
        <v>103</v>
      </c>
      <c r="D20" s="374" t="s">
        <v>104</v>
      </c>
      <c r="E20" s="375"/>
      <c r="F20" s="375"/>
      <c r="G20" s="376"/>
      <c r="H20" s="252"/>
      <c r="I20" s="252"/>
      <c r="J20" s="252"/>
      <c r="K20" s="252"/>
      <c r="L20" s="252"/>
      <c r="M20" s="252"/>
    </row>
    <row r="21" spans="1:13">
      <c r="A21" s="254">
        <f>IF((A19-A20)&gt;0,(A19-A20)*50,0)</f>
        <v>0</v>
      </c>
      <c r="B21" s="259"/>
      <c r="C21" s="261" t="s">
        <v>111</v>
      </c>
      <c r="D21" s="377">
        <v>1</v>
      </c>
      <c r="E21" s="378"/>
      <c r="F21" s="378"/>
      <c r="G21" s="379"/>
      <c r="H21" s="252"/>
      <c r="I21" s="252"/>
      <c r="J21" s="252"/>
      <c r="K21" s="252"/>
      <c r="L21" s="252"/>
      <c r="M21" s="252"/>
    </row>
    <row r="22" spans="1:13">
      <c r="B22" s="256"/>
      <c r="C22" s="262" t="s">
        <v>110</v>
      </c>
      <c r="D22" s="365">
        <v>2</v>
      </c>
      <c r="E22" s="366"/>
      <c r="F22" s="366"/>
      <c r="G22" s="367"/>
      <c r="H22" s="252"/>
      <c r="I22" s="252"/>
      <c r="J22" s="252"/>
      <c r="K22" s="252"/>
      <c r="L22" s="252"/>
      <c r="M22" s="252"/>
    </row>
    <row r="23" spans="1:13">
      <c r="B23" s="256"/>
      <c r="C23" s="262" t="s">
        <v>105</v>
      </c>
      <c r="D23" s="365">
        <v>3</v>
      </c>
      <c r="E23" s="366"/>
      <c r="F23" s="366"/>
      <c r="G23" s="367"/>
      <c r="H23" s="252"/>
      <c r="I23" s="252"/>
      <c r="J23" s="252"/>
      <c r="K23" s="252"/>
      <c r="L23" s="252"/>
      <c r="M23" s="252"/>
    </row>
    <row r="24" spans="1:13">
      <c r="B24" s="257"/>
      <c r="C24" s="263" t="s">
        <v>106</v>
      </c>
      <c r="D24" s="365">
        <v>4</v>
      </c>
      <c r="E24" s="366"/>
      <c r="F24" s="366"/>
      <c r="G24" s="367"/>
      <c r="H24" s="252"/>
      <c r="I24" s="252"/>
      <c r="J24" s="252"/>
      <c r="K24" s="252"/>
      <c r="L24" s="252"/>
      <c r="M24" s="252"/>
    </row>
    <row r="25" spans="1:13">
      <c r="B25" s="258"/>
      <c r="C25" s="264" t="s">
        <v>107</v>
      </c>
      <c r="D25" s="368">
        <v>5</v>
      </c>
      <c r="E25" s="369"/>
      <c r="F25" s="369"/>
      <c r="G25" s="370"/>
    </row>
    <row r="26" spans="1:13" ht="15.75" thickBot="1">
      <c r="B26" s="258"/>
      <c r="C26" s="265" t="s">
        <v>108</v>
      </c>
      <c r="D26" s="371">
        <v>6</v>
      </c>
      <c r="E26" s="372"/>
      <c r="F26" s="372"/>
      <c r="G26" s="373"/>
    </row>
  </sheetData>
  <sheetProtection algorithmName="SHA-512" hashValue="MBUE4XZyVgJK7h6yX03WEZNKwYzrA0WXlVKfFPnf2XkRXf9PECoRwGuabFLUxb6vg+mhD9OWq0+gdCWscAobRA==" saltValue="b7+iZvyuDuEjzfHjjwsqww==" spinCount="100000" sheet="1" objects="1" scenarios="1" selectLockedCells="1"/>
  <mergeCells count="33">
    <mergeCell ref="D26:G26"/>
    <mergeCell ref="D20:G20"/>
    <mergeCell ref="D21:G21"/>
    <mergeCell ref="D22:G22"/>
    <mergeCell ref="D23:G23"/>
    <mergeCell ref="AR5:AT5"/>
    <mergeCell ref="E5:G5"/>
    <mergeCell ref="H5:J5"/>
    <mergeCell ref="D24:G24"/>
    <mergeCell ref="D25:G25"/>
    <mergeCell ref="K5:M5"/>
    <mergeCell ref="Q5:S5"/>
    <mergeCell ref="D7:D16"/>
    <mergeCell ref="B3:D3"/>
    <mergeCell ref="B4:D4"/>
    <mergeCell ref="B5:C5"/>
    <mergeCell ref="Z5:AB5"/>
    <mergeCell ref="AL4:AW4"/>
    <mergeCell ref="E2:AW2"/>
    <mergeCell ref="B2:D2"/>
    <mergeCell ref="N5:P5"/>
    <mergeCell ref="T5:V5"/>
    <mergeCell ref="W5:Y5"/>
    <mergeCell ref="E4:V4"/>
    <mergeCell ref="W4:AK4"/>
    <mergeCell ref="AU5:AW5"/>
    <mergeCell ref="E3:V3"/>
    <mergeCell ref="AO5:AQ5"/>
    <mergeCell ref="W3:AW3"/>
    <mergeCell ref="AC5:AE5"/>
    <mergeCell ref="AF5:AH5"/>
    <mergeCell ref="AI5:AK5"/>
    <mergeCell ref="AL5:AN5"/>
  </mergeCells>
  <pageMargins left="0.7" right="0.7" top="0.78740157499999996" bottom="0.78740157499999996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Meldung</vt:lpstr>
      <vt:lpstr>Startgebühr</vt:lpstr>
      <vt:lpstr>EK w</vt:lpstr>
      <vt:lpstr>EK m</vt:lpstr>
      <vt:lpstr>Paarkür</vt:lpstr>
      <vt:lpstr>Kleingrp</vt:lpstr>
      <vt:lpstr>Großgrp</vt:lpstr>
      <vt:lpstr>Juryabfrage</vt:lpstr>
      <vt:lpstr>'EK m'!Druckbereich</vt:lpstr>
      <vt:lpstr>'EK w'!Druckbereich</vt:lpstr>
      <vt:lpstr>Großgrp!Druckbereich</vt:lpstr>
      <vt:lpstr>Kleingrp!Druckbereich</vt:lpstr>
      <vt:lpstr>Meldung!Druckbereich</vt:lpstr>
      <vt:lpstr>Paarkür!Druckbereich</vt:lpstr>
      <vt:lpstr>Startgebühr!Druckbereich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</dc:creator>
  <cp:lastModifiedBy>Admin</cp:lastModifiedBy>
  <cp:lastPrinted>2023-02-04T18:34:29Z</cp:lastPrinted>
  <dcterms:created xsi:type="dcterms:W3CDTF">2014-01-27T17:38:43Z</dcterms:created>
  <dcterms:modified xsi:type="dcterms:W3CDTF">2023-02-25T14:29:47Z</dcterms:modified>
</cp:coreProperties>
</file>